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HDA0207-NAS\drh$\PreviHonda\PreviHonda\Banco de Dados\TREINAMENTOS\TREINAMENTOS\SITE\"/>
    </mc:Choice>
  </mc:AlternateContent>
  <xr:revisionPtr revIDLastSave="0" documentId="13_ncr:1_{67D20311-2091-4F48-BCDA-7C77B23CD3C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BASE" sheetId="1" r:id="rId1"/>
    <sheet name="DESCONTO" sheetId="2" state="hidden" r:id="rId2"/>
    <sheet name="TABELA IR 2023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H8" i="1"/>
  <c r="H19" i="3"/>
  <c r="H18" i="3"/>
  <c r="H17" i="3"/>
  <c r="D20" i="3" l="1"/>
  <c r="D19" i="3"/>
  <c r="C19" i="3"/>
  <c r="B20" i="3" s="1"/>
  <c r="D18" i="3"/>
  <c r="C18" i="3"/>
  <c r="B19" i="3" s="1"/>
  <c r="D17" i="3"/>
  <c r="C17" i="3"/>
  <c r="B18" i="3" s="1"/>
  <c r="E16" i="3"/>
  <c r="D16" i="3"/>
  <c r="B17" i="3"/>
  <c r="G10" i="3"/>
  <c r="G9" i="3"/>
  <c r="B9" i="3"/>
  <c r="G8" i="3"/>
  <c r="B8" i="3"/>
  <c r="G7" i="3"/>
  <c r="B7" i="3"/>
  <c r="G6" i="3"/>
  <c r="B6" i="3"/>
  <c r="C12" i="1" l="1" a="1"/>
  <c r="C12" i="1" s="1"/>
  <c r="C11" i="1" a="1"/>
  <c r="C11" i="1" s="1"/>
  <c r="C13" i="1" s="1"/>
  <c r="C2" i="2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B3" i="2"/>
  <c r="B4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D3" i="2" l="1"/>
  <c r="B5" i="2"/>
  <c r="B6" i="2" l="1"/>
  <c r="D4" i="2"/>
  <c r="F3" i="2"/>
  <c r="E3" i="2" l="1"/>
  <c r="D5" i="2"/>
  <c r="F4" i="2"/>
  <c r="E4" i="2" s="1"/>
  <c r="B7" i="2"/>
  <c r="B8" i="2" l="1"/>
  <c r="D6" i="2"/>
  <c r="F5" i="2"/>
  <c r="E5" i="2" s="1"/>
  <c r="D7" i="2" l="1"/>
  <c r="F6" i="2"/>
  <c r="B9" i="2"/>
  <c r="E6" i="2" l="1"/>
  <c r="D8" i="2"/>
  <c r="F7" i="2"/>
  <c r="E7" i="2" s="1"/>
  <c r="B10" i="2"/>
  <c r="B11" i="2" l="1"/>
  <c r="D9" i="2"/>
  <c r="F8" i="2"/>
  <c r="E8" i="2" s="1"/>
  <c r="B12" i="2" l="1"/>
  <c r="D10" i="2"/>
  <c r="F9" i="2"/>
  <c r="E9" i="2" l="1"/>
  <c r="D11" i="2"/>
  <c r="F10" i="2"/>
  <c r="E10" i="2" s="1"/>
  <c r="B13" i="2"/>
  <c r="D12" i="2" l="1"/>
  <c r="F11" i="2"/>
  <c r="E11" i="2" s="1"/>
  <c r="B14" i="2"/>
  <c r="B15" i="2" l="1"/>
  <c r="D13" i="2"/>
  <c r="F12" i="2"/>
  <c r="E12" i="2" s="1"/>
  <c r="D14" i="2" l="1"/>
  <c r="F14" i="2" s="1"/>
  <c r="F13" i="2"/>
  <c r="E13" i="2" s="1"/>
  <c r="F15" i="2" l="1"/>
  <c r="E14" i="2"/>
  <c r="E15" i="2" s="1"/>
  <c r="D15" i="2" l="1"/>
  <c r="C9" i="1"/>
  <c r="C14" i="1" l="1"/>
  <c r="C15" i="1" s="1"/>
  <c r="C17" i="1"/>
  <c r="C19" i="1" l="1"/>
  <c r="C18" i="1"/>
  <c r="H13" i="1"/>
  <c r="H11" i="1" l="1"/>
  <c r="H10" i="1"/>
  <c r="H12" i="1" l="1"/>
  <c r="H14" i="1" s="1"/>
  <c r="H15" i="1" s="1"/>
  <c r="H16" i="1" s="1"/>
  <c r="C20" i="1" l="1"/>
  <c r="H18" i="1" l="1"/>
  <c r="C21" i="1"/>
  <c r="H19" i="1" l="1"/>
  <c r="E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tc={40F44D8C-06BA-4430-BF03-1E47F2C920D1}</author>
  </authors>
  <commentList>
    <comment ref="E9" authorId="0" shapeId="0" xr:uid="{40F44D8C-06BA-4430-BF03-1E47F2C920D1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Locador é o dono do Imóvel, Locatário é aquele que aluga o imóvel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<sst xmlns="http://schemas.openxmlformats.org/spreadsheetml/2006/main" count="75" uniqueCount="58">
  <si>
    <t>Aliquota IR</t>
  </si>
  <si>
    <t>Dedução</t>
  </si>
  <si>
    <t>IR</t>
  </si>
  <si>
    <t>Valor líquido mês nos demais anos</t>
  </si>
  <si>
    <t>Receita Financeira</t>
  </si>
  <si>
    <t>(-) Inflação</t>
  </si>
  <si>
    <t>(-) IR</t>
  </si>
  <si>
    <t>(-) IR a pagar</t>
  </si>
  <si>
    <t>Inflação a.a.</t>
  </si>
  <si>
    <t>Taxa ADM a.a.</t>
  </si>
  <si>
    <t>(-) Taxa Administrativa</t>
  </si>
  <si>
    <t>Valor líquido mês no 1º ano</t>
  </si>
  <si>
    <t>Receita Líquida mês</t>
  </si>
  <si>
    <t>Valores base mensal</t>
  </si>
  <si>
    <t>Aluguel mensal</t>
  </si>
  <si>
    <t>Condominio mensal</t>
  </si>
  <si>
    <t>(-) IPTU anual</t>
  </si>
  <si>
    <t>(-)Seguro anual</t>
  </si>
  <si>
    <t>Período de alocação em anos</t>
  </si>
  <si>
    <r>
      <t xml:space="preserve">(-) Valor da manutenção anual </t>
    </r>
    <r>
      <rPr>
        <sz val="11"/>
        <color theme="1"/>
        <rFont val="Calibri"/>
        <family val="2"/>
        <scheme val="minor"/>
      </rPr>
      <t>(pintura geral mais manutenções na saída do locatário)</t>
    </r>
  </si>
  <si>
    <t>MÊS</t>
  </si>
  <si>
    <t>PARCELA MENSAL NORMAL</t>
  </si>
  <si>
    <t>TAXA DE DESCTO NOMINAL</t>
  </si>
  <si>
    <t>JRS.ACUM.</t>
  </si>
  <si>
    <t>DESCONTO NO MÊS</t>
  </si>
  <si>
    <t>PARCELA MENSAL ANTECIPADA</t>
  </si>
  <si>
    <t>TOTAL</t>
  </si>
  <si>
    <t>TAXA DE DESCONTO REAL &gt;&gt;&gt;</t>
  </si>
  <si>
    <t>(-) Taxa de desconto da inflação anual</t>
  </si>
  <si>
    <t>(-) Valor do desconto anual da inflação nas parcelas</t>
  </si>
  <si>
    <t>Receita líquida anual</t>
  </si>
  <si>
    <t>Valor líquido anual</t>
  </si>
  <si>
    <t>Diferença entre aluguel e aplicação ao ano</t>
  </si>
  <si>
    <t>(-) Corretagem "única vez no primeiro ano"</t>
  </si>
  <si>
    <t>TABELA PROGRESSIVA MENSAL</t>
  </si>
  <si>
    <t>TABELA REGRESSIVA</t>
  </si>
  <si>
    <t>BASE DE CÁLCULO</t>
  </si>
  <si>
    <t>ALÍQUOTA</t>
  </si>
  <si>
    <t>PARCELA A DEDUZIR</t>
  </si>
  <si>
    <t>PRAZO DE ACUMULAÇÃO EM ANOS</t>
  </si>
  <si>
    <t>DE</t>
  </si>
  <si>
    <t>ATÉ/ACIMA</t>
  </si>
  <si>
    <r>
      <rPr>
        <b/>
        <sz val="10"/>
        <color rgb="FFFF0000"/>
        <rFont val="Arial"/>
        <family val="2"/>
      </rPr>
      <t>Obs.</t>
    </r>
    <r>
      <rPr>
        <b/>
        <sz val="10"/>
        <color indexed="8"/>
        <rFont val="Arial"/>
        <family val="2"/>
      </rPr>
      <t xml:space="preserve"> Dedução por dependente</t>
    </r>
  </si>
  <si>
    <t>Dedução para &gt; de 65 anos</t>
  </si>
  <si>
    <t>TABELA PROGRESSIVA ANUAL</t>
  </si>
  <si>
    <t>% RECEITA LÍQUIDA A.A.</t>
  </si>
  <si>
    <t>% DA DIFERENÇA A.A.</t>
  </si>
  <si>
    <t>Locador</t>
  </si>
  <si>
    <r>
      <t xml:space="preserve">Defina de quem é a responsabilidade pelos custos clicando abaixo.
</t>
    </r>
    <r>
      <rPr>
        <b/>
        <sz val="14"/>
        <color theme="0"/>
        <rFont val="Calibri"/>
        <family val="2"/>
        <scheme val="minor"/>
      </rPr>
      <t>▼</t>
    </r>
  </si>
  <si>
    <t>PERCENTUAL LÍQUIDO DE RETORNO COM A LOCAÇÃO A.A.</t>
  </si>
  <si>
    <t>IR SOBRE INVESTIMENTOS</t>
  </si>
  <si>
    <t>Prazo do Investimento em dias</t>
  </si>
  <si>
    <t>VALOR DO IMÓVEL PARA LOCAR OU PARA INVESTIMENTO</t>
  </si>
  <si>
    <t>Não se esqueça de consultar um corretor e de que alugar, depende da oferta e demanda.</t>
  </si>
  <si>
    <t>Normalmente  3 anos</t>
  </si>
  <si>
    <t>(-) Taxa de manutenção anual ou depreciação</t>
  </si>
  <si>
    <t>Taxa de juros  a.a.</t>
  </si>
  <si>
    <t>https://www.planalto.gov.br/ccivil_03/_ato2023-2026/2024/mpv/mpv1206.htm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</si>
</sst>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i/>
      <u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b/>
      <i/>
      <sz val="16"/>
      <color theme="1"/>
      <name val="Franklin Gothic Demi Cond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double">
        <color theme="0" tint="-0.499984740745262"/>
      </left>
      <right style="hair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/>
      <right/>
      <top style="double">
        <color theme="0" tint="-0.499984740745262"/>
      </top>
      <bottom/>
      <diagonal/>
    </border>
    <border>
      <left style="hair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hair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hair">
        <color theme="0" tint="-0.499984740745262"/>
      </top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 style="double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 style="double">
        <color theme="0" tint="-0.499984740745262"/>
      </right>
      <top style="double">
        <color theme="0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hair">
        <color theme="0" tint="-0.499984740745262"/>
      </bottom>
      <diagonal/>
    </border>
    <border>
      <left style="double">
        <color theme="0"/>
      </left>
      <right style="double">
        <color theme="0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theme="0"/>
      </left>
      <right style="double">
        <color theme="0"/>
      </right>
      <top style="hair">
        <color theme="0" tint="-0.499984740745262"/>
      </top>
      <bottom style="double">
        <color theme="0"/>
      </bottom>
      <diagonal/>
    </border>
    <border>
      <left/>
      <right/>
      <top/>
      <bottom style="double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/>
      </left>
      <right style="double">
        <color theme="0" tint="-0.499984740745262"/>
      </right>
      <top style="double">
        <color theme="0"/>
      </top>
      <bottom style="double">
        <color theme="0"/>
      </bottom>
      <diagonal/>
    </border>
    <border>
      <left style="double">
        <color theme="0" tint="-0.499984740745262"/>
      </left>
      <right/>
      <top/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>
      <alignment vertical="top"/>
    </xf>
    <xf numFmtId="165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0" xfId="0" applyProtection="1"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10" fontId="0" fillId="5" borderId="3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0" fontId="0" fillId="5" borderId="5" xfId="2" applyNumberFormat="1" applyFont="1" applyFill="1" applyBorder="1" applyAlignment="1" applyProtection="1">
      <alignment horizontal="center" vertical="center" wrapText="1"/>
      <protection locked="0"/>
    </xf>
    <xf numFmtId="164" fontId="0" fillId="0" borderId="5" xfId="1" applyFont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left" vertical="center" wrapText="1"/>
      <protection hidden="1"/>
    </xf>
    <xf numFmtId="0" fontId="2" fillId="2" borderId="7" xfId="0" applyFont="1" applyFill="1" applyBorder="1" applyAlignment="1" applyProtection="1">
      <alignment horizontal="left" vertical="center" wrapText="1"/>
      <protection hidden="1"/>
    </xf>
    <xf numFmtId="164" fontId="0" fillId="0" borderId="13" xfId="1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Continuous"/>
      <protection hidden="1"/>
    </xf>
    <xf numFmtId="0" fontId="2" fillId="2" borderId="1" xfId="0" applyFont="1" applyFill="1" applyBorder="1" applyAlignment="1" applyProtection="1">
      <alignment horizontal="left" vertical="center" wrapText="1"/>
      <protection hidden="1"/>
    </xf>
    <xf numFmtId="164" fontId="6" fillId="3" borderId="3" xfId="1" applyFont="1" applyFill="1" applyBorder="1" applyAlignment="1" applyProtection="1">
      <alignment horizontal="center" vertical="center" wrapText="1"/>
      <protection locked="0"/>
    </xf>
    <xf numFmtId="164" fontId="0" fillId="0" borderId="5" xfId="0" applyNumberFormat="1" applyBorder="1" applyAlignment="1" applyProtection="1">
      <alignment horizontal="center" vertical="center" wrapText="1"/>
      <protection hidden="1"/>
    </xf>
    <xf numFmtId="10" fontId="0" fillId="0" borderId="8" xfId="0" applyNumberFormat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left" vertical="center" wrapText="1"/>
      <protection hidden="1"/>
    </xf>
    <xf numFmtId="0" fontId="5" fillId="2" borderId="16" xfId="0" applyFont="1" applyFill="1" applyBorder="1" applyAlignment="1" applyProtection="1">
      <alignment horizontal="left" vertical="center" wrapText="1"/>
      <protection hidden="1"/>
    </xf>
    <xf numFmtId="0" fontId="0" fillId="0" borderId="12" xfId="0" applyBorder="1" applyAlignment="1" applyProtection="1">
      <alignment horizontal="centerContinuous"/>
      <protection hidden="1"/>
    </xf>
    <xf numFmtId="164" fontId="0" fillId="0" borderId="0" xfId="0" applyNumberFormat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10" fontId="0" fillId="0" borderId="0" xfId="1" applyNumberFormat="1" applyFont="1" applyBorder="1" applyAlignment="1" applyProtection="1">
      <alignment horizontal="center" vertical="center" wrapText="1"/>
      <protection hidden="1"/>
    </xf>
    <xf numFmtId="164" fontId="0" fillId="0" borderId="0" xfId="1" applyFont="1" applyBorder="1" applyAlignment="1" applyProtection="1">
      <alignment horizontal="center" vertical="center" wrapText="1"/>
      <protection hidden="1"/>
    </xf>
    <xf numFmtId="0" fontId="0" fillId="0" borderId="17" xfId="0" applyBorder="1" applyProtection="1">
      <protection hidden="1"/>
    </xf>
    <xf numFmtId="10" fontId="0" fillId="0" borderId="13" xfId="1" applyNumberFormat="1" applyFont="1" applyBorder="1" applyAlignment="1" applyProtection="1">
      <alignment horizontal="right" vertical="center" wrapText="1"/>
      <protection hidden="1"/>
    </xf>
    <xf numFmtId="10" fontId="0" fillId="0" borderId="5" xfId="1" applyNumberFormat="1" applyFont="1" applyBorder="1" applyAlignment="1" applyProtection="1">
      <alignment horizontal="right" vertical="center" wrapText="1"/>
      <protection hidden="1"/>
    </xf>
    <xf numFmtId="164" fontId="0" fillId="0" borderId="18" xfId="1" applyFont="1" applyBorder="1" applyAlignment="1" applyProtection="1">
      <alignment horizontal="center" vertical="center" wrapText="1"/>
      <protection hidden="1"/>
    </xf>
    <xf numFmtId="164" fontId="0" fillId="0" borderId="19" xfId="1" applyFont="1" applyBorder="1" applyAlignment="1" applyProtection="1">
      <alignment horizontal="center" vertical="center" wrapText="1"/>
      <protection hidden="1"/>
    </xf>
    <xf numFmtId="164" fontId="0" fillId="0" borderId="20" xfId="1" applyFont="1" applyBorder="1" applyAlignment="1" applyProtection="1">
      <alignment horizontal="center" vertical="center" wrapText="1"/>
      <protection hidden="1"/>
    </xf>
    <xf numFmtId="0" fontId="2" fillId="2" borderId="21" xfId="0" applyFont="1" applyFill="1" applyBorder="1" applyAlignment="1" applyProtection="1">
      <alignment horizontal="left" vertical="center" wrapText="1"/>
      <protection hidden="1"/>
    </xf>
    <xf numFmtId="0" fontId="2" fillId="2" borderId="22" xfId="0" applyFont="1" applyFill="1" applyBorder="1" applyAlignment="1" applyProtection="1">
      <alignment horizontal="left" vertical="center" wrapText="1"/>
      <protection hidden="1"/>
    </xf>
    <xf numFmtId="0" fontId="2" fillId="2" borderId="23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vertical="center" wrapText="1"/>
      <protection hidden="1"/>
    </xf>
    <xf numFmtId="164" fontId="6" fillId="0" borderId="3" xfId="1" applyFont="1" applyBorder="1" applyAlignment="1" applyProtection="1">
      <alignment vertical="center" wrapText="1"/>
      <protection hidden="1"/>
    </xf>
    <xf numFmtId="164" fontId="0" fillId="3" borderId="5" xfId="1" applyFont="1" applyFill="1" applyBorder="1" applyAlignment="1" applyProtection="1">
      <alignment horizontal="center" vertical="center" wrapText="1"/>
      <protection locked="0"/>
    </xf>
    <xf numFmtId="10" fontId="0" fillId="5" borderId="13" xfId="1" applyNumberFormat="1" applyFont="1" applyFill="1" applyBorder="1" applyAlignment="1" applyProtection="1">
      <alignment horizontal="right" vertical="center" wrapText="1"/>
      <protection locked="0"/>
    </xf>
    <xf numFmtId="164" fontId="0" fillId="0" borderId="6" xfId="0" applyNumberForma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right" vertical="center" wrapText="1"/>
      <protection hidden="1"/>
    </xf>
    <xf numFmtId="10" fontId="0" fillId="0" borderId="0" xfId="1" applyNumberFormat="1" applyFont="1" applyBorder="1" applyAlignment="1" applyProtection="1">
      <alignment horizontal="right" vertical="center" wrapText="1"/>
      <protection hidden="1"/>
    </xf>
    <xf numFmtId="164" fontId="0" fillId="0" borderId="6" xfId="1" applyFont="1" applyBorder="1" applyAlignment="1" applyProtection="1">
      <alignment horizontal="center" vertical="center" wrapText="1"/>
      <protection hidden="1"/>
    </xf>
    <xf numFmtId="164" fontId="0" fillId="0" borderId="29" xfId="1" applyFont="1" applyBorder="1" applyAlignment="1" applyProtection="1">
      <alignment horizontal="center" vertical="center" wrapText="1"/>
      <protection hidden="1"/>
    </xf>
    <xf numFmtId="0" fontId="8" fillId="0" borderId="14" xfId="0" applyFont="1" applyBorder="1" applyAlignment="1" applyProtection="1">
      <alignment horizontal="right" vertical="center" wrapText="1"/>
      <protection hidden="1"/>
    </xf>
    <xf numFmtId="164" fontId="5" fillId="2" borderId="28" xfId="1" applyFont="1" applyFill="1" applyBorder="1" applyAlignment="1" applyProtection="1">
      <alignment horizontal="left" vertical="center" wrapText="1"/>
      <protection hidden="1"/>
    </xf>
    <xf numFmtId="164" fontId="0" fillId="5" borderId="26" xfId="0" applyNumberForma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hidden="1"/>
    </xf>
    <xf numFmtId="0" fontId="2" fillId="2" borderId="33" xfId="0" applyFont="1" applyFill="1" applyBorder="1" applyAlignment="1" applyProtection="1">
      <alignment horizontal="center" vertical="center" wrapText="1"/>
      <protection hidden="1"/>
    </xf>
    <xf numFmtId="10" fontId="0" fillId="0" borderId="41" xfId="2" applyNumberFormat="1" applyFont="1" applyBorder="1" applyAlignment="1" applyProtection="1">
      <alignment horizontal="center" vertical="center"/>
      <protection hidden="1"/>
    </xf>
    <xf numFmtId="164" fontId="0" fillId="0" borderId="41" xfId="1" applyFont="1" applyBorder="1" applyAlignment="1" applyProtection="1">
      <alignment horizontal="center" vertical="center"/>
      <protection hidden="1"/>
    </xf>
    <xf numFmtId="164" fontId="0" fillId="0" borderId="42" xfId="1" applyFont="1" applyBorder="1" applyAlignment="1" applyProtection="1">
      <alignment horizontal="center" vertical="center"/>
      <protection hidden="1"/>
    </xf>
    <xf numFmtId="17" fontId="0" fillId="9" borderId="43" xfId="0" applyNumberFormat="1" applyFill="1" applyBorder="1" applyAlignment="1" applyProtection="1">
      <alignment horizontal="center" vertical="center"/>
      <protection hidden="1"/>
    </xf>
    <xf numFmtId="164" fontId="0" fillId="0" borderId="25" xfId="1" applyFont="1" applyBorder="1" applyAlignment="1" applyProtection="1">
      <alignment horizontal="center" vertical="center"/>
      <protection hidden="1"/>
    </xf>
    <xf numFmtId="10" fontId="0" fillId="0" borderId="25" xfId="2" applyNumberFormat="1" applyFont="1" applyBorder="1" applyAlignment="1" applyProtection="1">
      <alignment horizontal="center" vertical="center"/>
      <protection hidden="1"/>
    </xf>
    <xf numFmtId="164" fontId="0" fillId="0" borderId="44" xfId="1" applyFont="1" applyBorder="1" applyAlignment="1" applyProtection="1">
      <alignment horizontal="center" vertical="center"/>
      <protection hidden="1"/>
    </xf>
    <xf numFmtId="17" fontId="0" fillId="9" borderId="45" xfId="0" applyNumberFormat="1" applyFill="1" applyBorder="1" applyAlignment="1" applyProtection="1">
      <alignment horizontal="center" vertical="center"/>
      <protection hidden="1"/>
    </xf>
    <xf numFmtId="164" fontId="0" fillId="0" borderId="46" xfId="1" applyFont="1" applyBorder="1" applyAlignment="1" applyProtection="1">
      <alignment horizontal="center" vertical="center"/>
      <protection hidden="1"/>
    </xf>
    <xf numFmtId="10" fontId="0" fillId="0" borderId="46" xfId="2" applyNumberFormat="1" applyFont="1" applyBorder="1" applyAlignment="1" applyProtection="1">
      <alignment horizontal="center" vertical="center"/>
      <protection hidden="1"/>
    </xf>
    <xf numFmtId="164" fontId="0" fillId="0" borderId="47" xfId="1" applyFont="1" applyBorder="1" applyAlignment="1" applyProtection="1">
      <alignment horizontal="center" vertical="center"/>
      <protection hidden="1"/>
    </xf>
    <xf numFmtId="10" fontId="2" fillId="8" borderId="37" xfId="2" applyNumberFormat="1" applyFont="1" applyFill="1" applyBorder="1" applyAlignment="1" applyProtection="1">
      <alignment horizontal="center" vertical="center" wrapText="1"/>
      <protection hidden="1"/>
    </xf>
    <xf numFmtId="17" fontId="2" fillId="8" borderId="40" xfId="0" applyNumberFormat="1" applyFont="1" applyFill="1" applyBorder="1" applyAlignment="1" applyProtection="1">
      <alignment horizontal="center" vertical="center"/>
      <protection hidden="1"/>
    </xf>
    <xf numFmtId="164" fontId="2" fillId="8" borderId="41" xfId="1" applyFont="1" applyFill="1" applyBorder="1" applyAlignment="1" applyProtection="1">
      <alignment horizontal="center" vertical="center"/>
      <protection hidden="1"/>
    </xf>
    <xf numFmtId="10" fontId="10" fillId="11" borderId="16" xfId="2" applyNumberFormat="1" applyFont="1" applyFill="1" applyBorder="1" applyAlignment="1" applyProtection="1">
      <alignment horizontal="right" vertical="center" wrapText="1"/>
      <protection hidden="1"/>
    </xf>
    <xf numFmtId="0" fontId="4" fillId="11" borderId="7" xfId="0" applyFont="1" applyFill="1" applyBorder="1" applyAlignment="1" applyProtection="1">
      <alignment vertical="center" wrapText="1"/>
      <protection hidden="1"/>
    </xf>
    <xf numFmtId="10" fontId="11" fillId="11" borderId="8" xfId="2" applyNumberFormat="1" applyFont="1" applyFill="1" applyBorder="1" applyAlignment="1" applyProtection="1">
      <alignment vertical="center" wrapText="1"/>
      <protection hidden="1"/>
    </xf>
    <xf numFmtId="0" fontId="4" fillId="11" borderId="15" xfId="0" applyFont="1" applyFill="1" applyBorder="1" applyAlignment="1" applyProtection="1">
      <alignment vertical="center" wrapText="1"/>
      <protection hidden="1"/>
    </xf>
    <xf numFmtId="10" fontId="11" fillId="11" borderId="13" xfId="2" applyNumberFormat="1" applyFont="1" applyFill="1" applyBorder="1" applyAlignment="1" applyProtection="1">
      <alignment vertical="center" wrapText="1"/>
      <protection hidden="1"/>
    </xf>
    <xf numFmtId="0" fontId="0" fillId="0" borderId="29" xfId="0" applyBorder="1" applyProtection="1">
      <protection hidden="1"/>
    </xf>
    <xf numFmtId="0" fontId="0" fillId="0" borderId="6" xfId="0" applyBorder="1" applyProtection="1">
      <protection hidden="1"/>
    </xf>
    <xf numFmtId="0" fontId="12" fillId="10" borderId="49" xfId="0" applyFont="1" applyFill="1" applyBorder="1" applyAlignment="1" applyProtection="1">
      <alignment horizontal="left" vertical="center" wrapText="1"/>
      <protection hidden="1"/>
    </xf>
    <xf numFmtId="0" fontId="3" fillId="2" borderId="49" xfId="0" applyFont="1" applyFill="1" applyBorder="1" applyAlignment="1" applyProtection="1">
      <alignment horizontal="left" vertical="center" wrapText="1"/>
      <protection hidden="1"/>
    </xf>
    <xf numFmtId="0" fontId="10" fillId="11" borderId="49" xfId="0" applyFont="1" applyFill="1" applyBorder="1" applyAlignment="1" applyProtection="1">
      <alignment horizontal="left" vertical="center" wrapText="1"/>
      <protection hidden="1"/>
    </xf>
    <xf numFmtId="0" fontId="0" fillId="0" borderId="30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12" xfId="0" applyBorder="1" applyProtection="1">
      <protection hidden="1"/>
    </xf>
    <xf numFmtId="0" fontId="15" fillId="0" borderId="0" xfId="3" applyFont="1" applyAlignment="1" applyProtection="1">
      <alignment vertical="center"/>
      <protection hidden="1"/>
    </xf>
    <xf numFmtId="0" fontId="14" fillId="0" borderId="0" xfId="3" applyProtection="1">
      <alignment vertical="top"/>
      <protection hidden="1"/>
    </xf>
    <xf numFmtId="0" fontId="16" fillId="12" borderId="54" xfId="3" applyFont="1" applyFill="1" applyBorder="1" applyAlignment="1" applyProtection="1">
      <alignment horizontal="center" vertical="center" wrapText="1"/>
      <protection hidden="1"/>
    </xf>
    <xf numFmtId="0" fontId="16" fillId="12" borderId="55" xfId="3" applyFont="1" applyFill="1" applyBorder="1" applyAlignment="1" applyProtection="1">
      <alignment horizontal="center" vertical="center" wrapText="1"/>
      <protection hidden="1"/>
    </xf>
    <xf numFmtId="165" fontId="0" fillId="13" borderId="58" xfId="4" applyFont="1" applyFill="1" applyBorder="1" applyAlignment="1" applyProtection="1">
      <alignment horizontal="center" vertical="center" wrapText="1"/>
      <protection hidden="1"/>
    </xf>
    <xf numFmtId="165" fontId="0" fillId="0" borderId="59" xfId="4" applyFont="1" applyBorder="1" applyAlignment="1" applyProtection="1">
      <alignment horizontal="center" vertical="center" wrapText="1"/>
      <protection hidden="1"/>
    </xf>
    <xf numFmtId="10" fontId="0" fillId="0" borderId="60" xfId="5" applyNumberFormat="1" applyFont="1" applyBorder="1" applyAlignment="1" applyProtection="1">
      <alignment horizontal="center" vertical="center" wrapText="1"/>
      <protection hidden="1"/>
    </xf>
    <xf numFmtId="165" fontId="0" fillId="0" borderId="61" xfId="4" applyFont="1" applyBorder="1" applyAlignment="1" applyProtection="1">
      <alignment horizontal="center" vertical="center" wrapText="1"/>
      <protection hidden="1"/>
    </xf>
    <xf numFmtId="0" fontId="0" fillId="13" borderId="58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59" xfId="4" applyNumberFormat="1" applyFont="1" applyBorder="1" applyAlignment="1" applyProtection="1">
      <alignment horizontal="center" vertical="center" wrapText="1"/>
      <protection hidden="1"/>
    </xf>
    <xf numFmtId="10" fontId="0" fillId="0" borderId="61" xfId="5" applyNumberFormat="1" applyFont="1" applyBorder="1" applyAlignment="1" applyProtection="1">
      <alignment horizontal="center" vertical="center" wrapText="1"/>
      <protection hidden="1"/>
    </xf>
    <xf numFmtId="165" fontId="0" fillId="13" borderId="62" xfId="4" applyFont="1" applyFill="1" applyBorder="1" applyAlignment="1" applyProtection="1">
      <alignment horizontal="center" vertical="center" wrapText="1"/>
      <protection hidden="1"/>
    </xf>
    <xf numFmtId="165" fontId="0" fillId="0" borderId="63" xfId="4" applyFont="1" applyBorder="1" applyAlignment="1" applyProtection="1">
      <alignment horizontal="center" vertical="center" wrapText="1"/>
      <protection hidden="1"/>
    </xf>
    <xf numFmtId="10" fontId="0" fillId="0" borderId="64" xfId="5" applyNumberFormat="1" applyFont="1" applyBorder="1" applyAlignment="1" applyProtection="1">
      <alignment horizontal="center" vertical="center" wrapText="1"/>
      <protection hidden="1"/>
    </xf>
    <xf numFmtId="165" fontId="0" fillId="0" borderId="65" xfId="4" applyFont="1" applyBorder="1" applyAlignment="1" applyProtection="1">
      <alignment horizontal="center" vertical="center" wrapText="1"/>
      <protection hidden="1"/>
    </xf>
    <xf numFmtId="0" fontId="0" fillId="13" borderId="62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63" xfId="4" applyNumberFormat="1" applyFont="1" applyBorder="1" applyAlignment="1" applyProtection="1">
      <alignment horizontal="center" vertical="center" wrapText="1"/>
      <protection hidden="1"/>
    </xf>
    <xf numFmtId="10" fontId="0" fillId="0" borderId="65" xfId="5" applyNumberFormat="1" applyFont="1" applyBorder="1" applyAlignment="1" applyProtection="1">
      <alignment horizontal="center" vertical="center" wrapText="1"/>
      <protection hidden="1"/>
    </xf>
    <xf numFmtId="165" fontId="0" fillId="13" borderId="66" xfId="4" applyFont="1" applyFill="1" applyBorder="1" applyAlignment="1" applyProtection="1">
      <alignment horizontal="center" vertical="center" wrapText="1"/>
      <protection hidden="1"/>
    </xf>
    <xf numFmtId="165" fontId="0" fillId="0" borderId="67" xfId="4" applyFont="1" applyBorder="1" applyAlignment="1" applyProtection="1">
      <alignment horizontal="center" vertical="center" wrapText="1"/>
      <protection hidden="1"/>
    </xf>
    <xf numFmtId="10" fontId="0" fillId="0" borderId="55" xfId="5" applyNumberFormat="1" applyFont="1" applyBorder="1" applyAlignment="1" applyProtection="1">
      <alignment horizontal="center" vertical="center" wrapText="1"/>
      <protection hidden="1"/>
    </xf>
    <xf numFmtId="165" fontId="0" fillId="0" borderId="68" xfId="4" applyFont="1" applyBorder="1" applyAlignment="1" applyProtection="1">
      <alignment horizontal="center" vertical="center" wrapText="1"/>
      <protection hidden="1"/>
    </xf>
    <xf numFmtId="165" fontId="16" fillId="0" borderId="0" xfId="4" applyFont="1" applyAlignment="1" applyProtection="1">
      <alignment horizontal="left" vertical="center"/>
      <protection hidden="1"/>
    </xf>
    <xf numFmtId="165" fontId="0" fillId="0" borderId="0" xfId="4" applyFont="1" applyAlignment="1" applyProtection="1">
      <alignment horizontal="left" vertical="center"/>
      <protection hidden="1"/>
    </xf>
    <xf numFmtId="44" fontId="14" fillId="0" borderId="0" xfId="6" applyFont="1" applyAlignment="1" applyProtection="1">
      <alignment horizontal="center" vertical="center"/>
      <protection hidden="1"/>
    </xf>
    <xf numFmtId="0" fontId="0" fillId="13" borderId="66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67" xfId="4" applyNumberFormat="1" applyFont="1" applyBorder="1" applyAlignment="1" applyProtection="1">
      <alignment horizontal="center" vertical="center" wrapText="1"/>
      <protection hidden="1"/>
    </xf>
    <xf numFmtId="10" fontId="0" fillId="0" borderId="68" xfId="5" applyNumberFormat="1" applyFont="1" applyBorder="1" applyAlignment="1" applyProtection="1">
      <alignment horizontal="center" vertical="center" wrapText="1"/>
      <protection hidden="1"/>
    </xf>
    <xf numFmtId="0" fontId="0" fillId="0" borderId="0" xfId="4" applyNumberFormat="1" applyFont="1" applyBorder="1" applyAlignment="1" applyProtection="1">
      <alignment horizontal="center" vertical="center" wrapText="1"/>
      <protection hidden="1"/>
    </xf>
    <xf numFmtId="10" fontId="0" fillId="0" borderId="0" xfId="5" applyNumberFormat="1" applyFont="1" applyBorder="1" applyAlignment="1" applyProtection="1">
      <alignment horizontal="center" vertical="center" wrapText="1"/>
      <protection hidden="1"/>
    </xf>
    <xf numFmtId="44" fontId="14" fillId="0" borderId="0" xfId="6" applyFont="1" applyAlignment="1" applyProtection="1">
      <alignment horizontal="left" vertical="center"/>
      <protection hidden="1"/>
    </xf>
    <xf numFmtId="44" fontId="0" fillId="0" borderId="0" xfId="6" applyFont="1" applyBorder="1" applyAlignment="1" applyProtection="1">
      <alignment horizontal="center" vertical="center" wrapText="1"/>
      <protection hidden="1"/>
    </xf>
    <xf numFmtId="44" fontId="14" fillId="0" borderId="0" xfId="6" applyFont="1" applyAlignment="1" applyProtection="1">
      <alignment vertical="top"/>
      <protection hidden="1"/>
    </xf>
    <xf numFmtId="43" fontId="14" fillId="0" borderId="0" xfId="3" applyNumberFormat="1" applyProtection="1">
      <alignment vertical="top"/>
      <protection hidden="1"/>
    </xf>
    <xf numFmtId="165" fontId="14" fillId="0" borderId="59" xfId="4" applyFont="1" applyBorder="1" applyAlignment="1" applyProtection="1">
      <alignment horizontal="center" vertical="center" wrapText="1"/>
      <protection hidden="1"/>
    </xf>
    <xf numFmtId="44" fontId="14" fillId="0" borderId="0" xfId="3" applyNumberFormat="1" applyProtection="1">
      <alignment vertical="top"/>
      <protection hidden="1"/>
    </xf>
    <xf numFmtId="0" fontId="0" fillId="0" borderId="25" xfId="4" applyNumberFormat="1" applyFont="1" applyBorder="1" applyAlignment="1" applyProtection="1">
      <alignment horizontal="center" vertical="center" wrapText="1"/>
      <protection hidden="1"/>
    </xf>
    <xf numFmtId="0" fontId="0" fillId="13" borderId="32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33" xfId="4" applyNumberFormat="1" applyFont="1" applyBorder="1" applyAlignment="1" applyProtection="1">
      <alignment horizontal="center" vertical="center" wrapText="1"/>
      <protection hidden="1"/>
    </xf>
    <xf numFmtId="10" fontId="0" fillId="0" borderId="35" xfId="5" applyNumberFormat="1" applyFont="1" applyBorder="1" applyAlignment="1" applyProtection="1">
      <alignment horizontal="center" vertical="center" wrapText="1"/>
      <protection hidden="1"/>
    </xf>
    <xf numFmtId="0" fontId="0" fillId="13" borderId="43" xfId="4" applyNumberFormat="1" applyFont="1" applyFill="1" applyBorder="1" applyAlignment="1" applyProtection="1">
      <alignment horizontal="center" vertical="center" wrapText="1"/>
      <protection hidden="1"/>
    </xf>
    <xf numFmtId="10" fontId="0" fillId="0" borderId="44" xfId="5" applyNumberFormat="1" applyFont="1" applyBorder="1" applyAlignment="1" applyProtection="1">
      <alignment horizontal="center" vertical="center" wrapText="1"/>
      <protection hidden="1"/>
    </xf>
    <xf numFmtId="0" fontId="0" fillId="13" borderId="36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37" xfId="4" applyNumberFormat="1" applyFont="1" applyBorder="1" applyAlignment="1" applyProtection="1">
      <alignment horizontal="center" vertical="center" wrapText="1"/>
      <protection hidden="1"/>
    </xf>
    <xf numFmtId="10" fontId="0" fillId="0" borderId="39" xfId="5" applyNumberFormat="1" applyFont="1" applyBorder="1" applyAlignment="1" applyProtection="1">
      <alignment horizontal="center" vertical="center" wrapText="1"/>
      <protection hidden="1"/>
    </xf>
    <xf numFmtId="0" fontId="16" fillId="12" borderId="68" xfId="3" applyFont="1" applyFill="1" applyBorder="1" applyAlignment="1" applyProtection="1">
      <alignment horizontal="center" vertical="center" wrapText="1"/>
      <protection hidden="1"/>
    </xf>
    <xf numFmtId="0" fontId="0" fillId="5" borderId="5" xfId="2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2" applyNumberFormat="1" applyFont="1" applyAlignment="1" applyProtection="1">
      <alignment horizontal="center" vertical="center"/>
      <protection hidden="1"/>
    </xf>
    <xf numFmtId="164" fontId="12" fillId="10" borderId="28" xfId="1" applyFont="1" applyFill="1" applyBorder="1" applyAlignment="1" applyProtection="1">
      <alignment horizontal="center" vertical="center" wrapText="1"/>
      <protection hidden="1"/>
    </xf>
    <xf numFmtId="164" fontId="3" fillId="2" borderId="28" xfId="2" applyNumberFormat="1" applyFont="1" applyFill="1" applyBorder="1" applyAlignment="1" applyProtection="1">
      <alignment horizontal="right" vertical="center" wrapText="1"/>
      <protection hidden="1"/>
    </xf>
    <xf numFmtId="0" fontId="0" fillId="14" borderId="9" xfId="0" applyFill="1" applyBorder="1" applyProtection="1">
      <protection hidden="1"/>
    </xf>
    <xf numFmtId="0" fontId="19" fillId="0" borderId="5" xfId="0" applyFont="1" applyBorder="1" applyAlignment="1" applyProtection="1">
      <alignment horizontal="center" vertical="center" wrapText="1"/>
      <protection hidden="1"/>
    </xf>
    <xf numFmtId="0" fontId="20" fillId="0" borderId="0" xfId="7" applyAlignment="1" applyProtection="1">
      <alignment vertical="top"/>
      <protection hidden="1"/>
    </xf>
    <xf numFmtId="0" fontId="0" fillId="0" borderId="0" xfId="0" applyAlignment="1" applyProtection="1">
      <alignment horizontal="center" vertical="center"/>
      <protection hidden="1"/>
    </xf>
    <xf numFmtId="9" fontId="0" fillId="0" borderId="0" xfId="2" applyFont="1" applyAlignment="1" applyProtection="1">
      <alignment horizontal="center" vertical="center"/>
      <protection hidden="1"/>
    </xf>
    <xf numFmtId="0" fontId="18" fillId="14" borderId="10" xfId="0" applyFont="1" applyFill="1" applyBorder="1" applyAlignment="1" applyProtection="1">
      <alignment horizontal="center" vertical="center" wrapText="1"/>
      <protection hidden="1"/>
    </xf>
    <xf numFmtId="0" fontId="18" fillId="14" borderId="11" xfId="0" applyFont="1" applyFill="1" applyBorder="1" applyAlignment="1" applyProtection="1">
      <alignment horizontal="center" vertical="center" wrapText="1"/>
      <protection hidden="1"/>
    </xf>
    <xf numFmtId="164" fontId="9" fillId="7" borderId="31" xfId="0" applyNumberFormat="1" applyFont="1" applyFill="1" applyBorder="1" applyAlignment="1" applyProtection="1">
      <alignment horizontal="center" vertical="center" wrapText="1"/>
      <protection hidden="1"/>
    </xf>
    <xf numFmtId="164" fontId="9" fillId="7" borderId="27" xfId="0" applyNumberFormat="1" applyFont="1" applyFill="1" applyBorder="1" applyAlignment="1" applyProtection="1">
      <alignment horizontal="center" vertical="center" wrapText="1"/>
      <protection hidden="1"/>
    </xf>
    <xf numFmtId="0" fontId="13" fillId="6" borderId="14" xfId="0" applyFont="1" applyFill="1" applyBorder="1" applyAlignment="1" applyProtection="1">
      <alignment horizontal="center" vertical="center" wrapText="1"/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3" fillId="6" borderId="48" xfId="0" applyFont="1" applyFill="1" applyBorder="1" applyAlignment="1" applyProtection="1">
      <alignment horizontal="center" vertical="center" wrapText="1"/>
      <protection hidden="1"/>
    </xf>
    <xf numFmtId="0" fontId="13" fillId="6" borderId="30" xfId="0" applyFont="1" applyFill="1" applyBorder="1" applyAlignment="1" applyProtection="1">
      <alignment horizontal="center" vertical="center" wrapText="1"/>
      <protection hidden="1"/>
    </xf>
    <xf numFmtId="0" fontId="13" fillId="6" borderId="24" xfId="0" applyFont="1" applyFill="1" applyBorder="1" applyAlignment="1" applyProtection="1">
      <alignment horizontal="center" vertical="center" wrapText="1"/>
      <protection hidden="1"/>
    </xf>
    <xf numFmtId="0" fontId="13" fillId="6" borderId="12" xfId="0" applyFont="1" applyFill="1" applyBorder="1" applyAlignment="1" applyProtection="1">
      <alignment horizontal="center" vertical="center" wrapText="1"/>
      <protection hidden="1"/>
    </xf>
    <xf numFmtId="164" fontId="2" fillId="2" borderId="35" xfId="1" applyFont="1" applyFill="1" applyBorder="1" applyAlignment="1" applyProtection="1">
      <alignment horizontal="center" vertical="center" wrapText="1"/>
      <protection hidden="1"/>
    </xf>
    <xf numFmtId="164" fontId="2" fillId="2" borderId="39" xfId="1" applyFont="1" applyFill="1" applyBorder="1" applyAlignment="1" applyProtection="1">
      <alignment horizontal="center" vertical="center" wrapText="1"/>
      <protection hidden="1"/>
    </xf>
    <xf numFmtId="0" fontId="2" fillId="2" borderId="32" xfId="0" applyFont="1" applyFill="1" applyBorder="1" applyAlignment="1" applyProtection="1">
      <alignment horizontal="center" vertical="center" wrapText="1"/>
      <protection hidden="1"/>
    </xf>
    <xf numFmtId="0" fontId="2" fillId="2" borderId="36" xfId="0" applyFont="1" applyFill="1" applyBorder="1" applyAlignment="1" applyProtection="1">
      <alignment horizontal="center" vertical="center" wrapText="1"/>
      <protection hidden="1"/>
    </xf>
    <xf numFmtId="0" fontId="2" fillId="2" borderId="33" xfId="0" applyFont="1" applyFill="1" applyBorder="1" applyAlignment="1" applyProtection="1">
      <alignment horizontal="center" vertical="center" wrapText="1"/>
      <protection hidden="1"/>
    </xf>
    <xf numFmtId="0" fontId="2" fillId="2" borderId="37" xfId="0" applyFont="1" applyFill="1" applyBorder="1" applyAlignment="1" applyProtection="1">
      <alignment horizontal="center" vertical="center" wrapText="1"/>
      <protection hidden="1"/>
    </xf>
    <xf numFmtId="0" fontId="2" fillId="2" borderId="34" xfId="0" applyFont="1" applyFill="1" applyBorder="1" applyAlignment="1" applyProtection="1">
      <alignment horizontal="center" vertical="center" wrapText="1"/>
      <protection hidden="1"/>
    </xf>
    <xf numFmtId="0" fontId="2" fillId="2" borderId="38" xfId="0" applyFont="1" applyFill="1" applyBorder="1" applyAlignment="1" applyProtection="1">
      <alignment horizontal="center" vertical="center" wrapText="1"/>
      <protection hidden="1"/>
    </xf>
    <xf numFmtId="0" fontId="2" fillId="2" borderId="35" xfId="0" applyFont="1" applyFill="1" applyBorder="1" applyAlignment="1" applyProtection="1">
      <alignment horizontal="center" vertical="center" wrapText="1"/>
      <protection hidden="1"/>
    </xf>
    <xf numFmtId="0" fontId="2" fillId="2" borderId="39" xfId="0" applyFont="1" applyFill="1" applyBorder="1" applyAlignment="1" applyProtection="1">
      <alignment horizontal="center" vertical="center" wrapText="1"/>
      <protection hidden="1"/>
    </xf>
    <xf numFmtId="164" fontId="2" fillId="2" borderId="33" xfId="1" applyFont="1" applyFill="1" applyBorder="1" applyAlignment="1" applyProtection="1">
      <alignment horizontal="center" vertical="center" wrapText="1"/>
      <protection hidden="1"/>
    </xf>
    <xf numFmtId="164" fontId="2" fillId="2" borderId="37" xfId="1" applyFont="1" applyFill="1" applyBorder="1" applyAlignment="1" applyProtection="1">
      <alignment horizontal="center" vertical="center" wrapText="1"/>
      <protection hidden="1"/>
    </xf>
    <xf numFmtId="10" fontId="2" fillId="2" borderId="33" xfId="2" applyNumberFormat="1" applyFont="1" applyFill="1" applyBorder="1" applyAlignment="1" applyProtection="1">
      <alignment horizontal="center" vertical="center" wrapText="1"/>
      <protection hidden="1"/>
    </xf>
    <xf numFmtId="10" fontId="2" fillId="2" borderId="37" xfId="2" applyNumberFormat="1" applyFont="1" applyFill="1" applyBorder="1" applyAlignment="1" applyProtection="1">
      <alignment horizontal="center" vertical="center" wrapText="1"/>
      <protection hidden="1"/>
    </xf>
    <xf numFmtId="0" fontId="16" fillId="12" borderId="69" xfId="3" applyFont="1" applyFill="1" applyBorder="1" applyAlignment="1" applyProtection="1">
      <alignment horizontal="center" vertical="center" wrapText="1"/>
      <protection hidden="1"/>
    </xf>
    <xf numFmtId="0" fontId="16" fillId="12" borderId="70" xfId="3" applyFont="1" applyFill="1" applyBorder="1" applyAlignment="1" applyProtection="1">
      <alignment horizontal="center" vertical="center" wrapText="1"/>
      <protection hidden="1"/>
    </xf>
    <xf numFmtId="0" fontId="16" fillId="12" borderId="71" xfId="3" applyFont="1" applyFill="1" applyBorder="1" applyAlignment="1" applyProtection="1">
      <alignment horizontal="center" vertical="center" wrapText="1"/>
      <protection hidden="1"/>
    </xf>
    <xf numFmtId="0" fontId="16" fillId="12" borderId="50" xfId="3" applyFont="1" applyFill="1" applyBorder="1" applyAlignment="1" applyProtection="1">
      <alignment horizontal="center" vertical="center" wrapText="1"/>
      <protection hidden="1"/>
    </xf>
    <xf numFmtId="0" fontId="16" fillId="12" borderId="51" xfId="3" applyFont="1" applyFill="1" applyBorder="1" applyAlignment="1" applyProtection="1">
      <alignment horizontal="center" vertical="center" wrapText="1"/>
      <protection hidden="1"/>
    </xf>
    <xf numFmtId="0" fontId="16" fillId="12" borderId="53" xfId="3" applyFont="1" applyFill="1" applyBorder="1" applyAlignment="1" applyProtection="1">
      <alignment horizontal="center" vertical="center" wrapText="1"/>
      <protection hidden="1"/>
    </xf>
    <xf numFmtId="0" fontId="16" fillId="12" borderId="57" xfId="3" applyFont="1" applyFill="1" applyBorder="1" applyAlignment="1" applyProtection="1">
      <alignment horizontal="center" vertical="center" wrapText="1"/>
      <protection hidden="1"/>
    </xf>
    <xf numFmtId="0" fontId="16" fillId="12" borderId="52" xfId="3" applyFont="1" applyFill="1" applyBorder="1" applyAlignment="1" applyProtection="1">
      <alignment horizontal="center" vertical="center" wrapText="1"/>
      <protection hidden="1"/>
    </xf>
    <xf numFmtId="0" fontId="16" fillId="12" borderId="56" xfId="3" applyFont="1" applyFill="1" applyBorder="1" applyAlignment="1" applyProtection="1">
      <alignment horizontal="center" vertical="center" wrapText="1"/>
      <protection hidden="1"/>
    </xf>
  </cellXfs>
  <cellStyles count="8">
    <cellStyle name="Hiperlink" xfId="7" builtinId="8"/>
    <cellStyle name="Moeda" xfId="1" builtinId="4"/>
    <cellStyle name="Moeda 2" xfId="6" xr:uid="{00000000-0005-0000-0000-000001000000}"/>
    <cellStyle name="Moeda 6" xfId="4" xr:uid="{00000000-0005-0000-0000-000002000000}"/>
    <cellStyle name="Normal" xfId="0" builtinId="0"/>
    <cellStyle name="Normal 10" xfId="3" xr:uid="{00000000-0005-0000-0000-000004000000}"/>
    <cellStyle name="Porcentagem" xfId="2" builtinId="5"/>
    <cellStyle name="Porcentagem 4" xfId="5" xr:uid="{00000000-0005-0000-0000-000006000000}"/>
  </cellStyles>
  <dxfs count="14"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56027</xdr:colOff>
      <xdr:row>1</xdr:row>
      <xdr:rowOff>44736</xdr:rowOff>
    </xdr:from>
    <xdr:to>
      <xdr:col>1</xdr:col>
      <xdr:colOff>2271686</xdr:colOff>
      <xdr:row>1</xdr:row>
      <xdr:rowOff>626889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086" y="100765"/>
          <a:ext cx="2215659" cy="58215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ilton Nascimento" id="{A840CC8A-4928-451E-AC4B-FB48450640F9}" userId="S::sb003082@sa.mds.honda.com::135d9e73-1445-4739-ac3a-388792530dec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9" dT="2023-06-15T16:56:18.06" personId="{A840CC8A-4928-451E-AC4B-FB48450640F9}" id="{40F44D8C-06BA-4430-BF03-1E47F2C920D1}">
    <text>Locador é o dono do Imóvel, Locatário é aquele que aluga o imóvel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B1:L23"/>
  <sheetViews>
    <sheetView showGridLines="0" tabSelected="1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9" sqref="C9"/>
    </sheetView>
  </sheetViews>
  <sheetFormatPr defaultColWidth="9.140625" defaultRowHeight="15" zeroHeight="1" x14ac:dyDescent="0.25"/>
  <cols>
    <col min="1" max="1" width="1.7109375" style="1" customWidth="1"/>
    <col min="2" max="2" width="60.5703125" style="1" customWidth="1"/>
    <col min="3" max="3" width="19" style="1" customWidth="1"/>
    <col min="4" max="4" width="1.7109375" style="1" customWidth="1"/>
    <col min="5" max="5" width="16.85546875" style="1" bestFit="1" customWidth="1"/>
    <col min="6" max="6" width="1.7109375" style="1" customWidth="1"/>
    <col min="7" max="7" width="26.7109375" style="1" customWidth="1"/>
    <col min="8" max="8" width="17" style="1" customWidth="1"/>
    <col min="9" max="9" width="1.7109375" style="1" customWidth="1"/>
    <col min="10" max="10" width="9.140625" style="1" customWidth="1"/>
    <col min="11" max="11" width="12.5703125" style="1" customWidth="1"/>
    <col min="12" max="12" width="12.5703125" style="1" bestFit="1" customWidth="1"/>
    <col min="13" max="16384" width="9.140625" style="1"/>
  </cols>
  <sheetData>
    <row r="1" spans="2:12" ht="5.0999999999999996" customHeight="1" thickBot="1" x14ac:dyDescent="0.3"/>
    <row r="2" spans="2:12" ht="51.75" customHeight="1" thickTop="1" thickBot="1" x14ac:dyDescent="0.3">
      <c r="B2" s="124"/>
      <c r="C2" s="129" t="s">
        <v>53</v>
      </c>
      <c r="D2" s="129"/>
      <c r="E2" s="129"/>
      <c r="F2" s="129"/>
      <c r="G2" s="129"/>
      <c r="H2" s="130"/>
    </row>
    <row r="3" spans="2:12" ht="2.1" customHeight="1" thickTop="1" thickBot="1" x14ac:dyDescent="0.3">
      <c r="B3" s="66"/>
      <c r="H3" s="67"/>
    </row>
    <row r="4" spans="2:12" ht="30" customHeight="1" thickTop="1" x14ac:dyDescent="0.25">
      <c r="B4" s="2" t="s">
        <v>52</v>
      </c>
      <c r="C4" s="14">
        <v>650000</v>
      </c>
      <c r="D4" s="42"/>
      <c r="E4" s="131" t="s">
        <v>48</v>
      </c>
      <c r="F4" s="3"/>
      <c r="G4" s="13" t="s">
        <v>56</v>
      </c>
      <c r="H4" s="4">
        <v>0.09</v>
      </c>
      <c r="L4" s="128"/>
    </row>
    <row r="5" spans="2:12" ht="30" customHeight="1" thickBot="1" x14ac:dyDescent="0.3">
      <c r="B5" s="5" t="s">
        <v>14</v>
      </c>
      <c r="C5" s="35">
        <v>4200</v>
      </c>
      <c r="D5" s="38"/>
      <c r="E5" s="132"/>
      <c r="F5" s="6"/>
      <c r="G5" s="9" t="s">
        <v>8</v>
      </c>
      <c r="H5" s="7">
        <v>4.4999999999999998E-2</v>
      </c>
    </row>
    <row r="6" spans="2:12" ht="30" customHeight="1" thickTop="1" thickBot="1" x14ac:dyDescent="0.3">
      <c r="B6" s="5" t="s">
        <v>15</v>
      </c>
      <c r="C6" s="35">
        <v>800</v>
      </c>
      <c r="D6" s="38"/>
      <c r="E6" s="44" t="s">
        <v>47</v>
      </c>
      <c r="F6" s="6"/>
      <c r="G6" s="9" t="s">
        <v>9</v>
      </c>
      <c r="H6" s="7">
        <v>2.5000000000000001E-3</v>
      </c>
    </row>
    <row r="7" spans="2:12" ht="30" customHeight="1" thickTop="1" thickBot="1" x14ac:dyDescent="0.3">
      <c r="B7" s="5" t="s">
        <v>16</v>
      </c>
      <c r="C7" s="35">
        <v>1200</v>
      </c>
      <c r="D7" s="38"/>
      <c r="E7" s="44" t="s">
        <v>47</v>
      </c>
      <c r="F7" s="6"/>
      <c r="G7" s="9" t="s">
        <v>51</v>
      </c>
      <c r="H7" s="120">
        <v>30</v>
      </c>
      <c r="L7" s="127"/>
    </row>
    <row r="8" spans="2:12" ht="30" customHeight="1" thickTop="1" thickBot="1" x14ac:dyDescent="0.3">
      <c r="B8" s="5" t="s">
        <v>17</v>
      </c>
      <c r="C8" s="35">
        <v>500</v>
      </c>
      <c r="D8" s="38"/>
      <c r="E8" s="44" t="s">
        <v>47</v>
      </c>
      <c r="F8" s="6"/>
      <c r="G8" s="10" t="s">
        <v>2</v>
      </c>
      <c r="H8" s="16">
        <f>IF(AND($H$7&gt;='TABELA IR 2023'!H16,BASE!$H$7&lt;='TABELA IR 2023'!I16),'TABELA IR 2023'!J16,IF(AND($H$7&gt;='TABELA IR 2023'!H17,BASE!$H$7&lt;='TABELA IR 2023'!I17),'TABELA IR 2023'!J17,IF(AND($H$7&gt;='TABELA IR 2023'!H18,BASE!$H$7&lt;='TABELA IR 2023'!I18),'TABELA IR 2023'!J18,IF(H7&gt;='TABELA IR 2023'!H19,'TABELA IR 2023'!J19,0))))</f>
        <v>0.22500000000000001</v>
      </c>
      <c r="L8" s="127"/>
    </row>
    <row r="9" spans="2:12" ht="30" customHeight="1" thickTop="1" thickBot="1" x14ac:dyDescent="0.4">
      <c r="B9" s="5" t="s">
        <v>33</v>
      </c>
      <c r="C9" s="35">
        <f>+C5</f>
        <v>4200</v>
      </c>
      <c r="D9" s="37"/>
      <c r="E9" s="44" t="s">
        <v>47</v>
      </c>
      <c r="F9" s="6"/>
      <c r="G9" s="12" t="s">
        <v>13</v>
      </c>
      <c r="H9" s="19"/>
      <c r="L9" s="127"/>
    </row>
    <row r="10" spans="2:12" ht="30" customHeight="1" thickTop="1" x14ac:dyDescent="0.25">
      <c r="B10" s="5" t="s">
        <v>18</v>
      </c>
      <c r="C10" s="125" t="s">
        <v>54</v>
      </c>
      <c r="D10" s="38"/>
      <c r="E10" s="21"/>
      <c r="F10" s="6"/>
      <c r="G10" s="30" t="s">
        <v>4</v>
      </c>
      <c r="H10" s="27">
        <f>(((H4+1)^(1/12))-1)*C4</f>
        <v>4684.7601554888652</v>
      </c>
      <c r="L10" s="127"/>
    </row>
    <row r="11" spans="2:12" ht="30" customHeight="1" x14ac:dyDescent="0.25">
      <c r="B11" s="5" t="s">
        <v>0</v>
      </c>
      <c r="C11" s="26" cm="1">
        <f t="array" ref="C11">_xlfn.IFS(AND(C5&gt;='TABELA IR 2023'!B5,C5&lt;='TABELA IR 2023'!C5),'TABELA IR 2023'!D5,AND(C5&gt;='TABELA IR 2023'!B6,C5&lt;='TABELA IR 2023'!C6),'TABELA IR 2023'!D6,AND(C5&gt;='TABELA IR 2023'!B7,C5&lt;='TABELA IR 2023'!C7),'TABELA IR 2023'!D7,AND(C5&gt;='TABELA IR 2023'!B8,C5&lt;='TABELA IR 2023'!C8),'TABELA IR 2023'!D8,AND(C5&gt;='TABELA IR 2023'!B9),'TABELA IR 2023'!D9)</f>
        <v>0.22500000000000001</v>
      </c>
      <c r="D11" s="39"/>
      <c r="E11" s="22"/>
      <c r="F11" s="6"/>
      <c r="G11" s="31" t="s">
        <v>5</v>
      </c>
      <c r="H11" s="28">
        <f>(((H5+1)^(1/12))-1)*C4</f>
        <v>2388.6261102839535</v>
      </c>
      <c r="K11" s="121"/>
      <c r="L11" s="127"/>
    </row>
    <row r="12" spans="2:12" ht="30" customHeight="1" thickBot="1" x14ac:dyDescent="0.3">
      <c r="B12" s="5" t="s">
        <v>1</v>
      </c>
      <c r="C12" s="15" cm="1">
        <f t="array" ref="C12">_xlfn.IFS(AND(C5&gt;='TABELA IR 2023'!B5,C5&lt;='TABELA IR 2023'!C5),'TABELA IR 2023'!E5,AND(C5&gt;='TABELA IR 2023'!B6,C5&lt;='TABELA IR 2023'!C6),'TABELA IR 2023'!E6,AND(C5&gt;='TABELA IR 2023'!B7,C5&lt;='TABELA IR 2023'!C7),'TABELA IR 2023'!E7,AND(C5&gt;='TABELA IR 2023'!B8,C5&lt;='TABELA IR 2023'!C8),'TABELA IR 2023'!E8,AND(C5&gt;='TABELA IR 2023'!B9),'TABELA IR 2023'!E9)</f>
        <v>651.73</v>
      </c>
      <c r="D12" s="20"/>
      <c r="E12" s="20"/>
      <c r="F12" s="6"/>
      <c r="G12" s="31" t="s">
        <v>6</v>
      </c>
      <c r="H12" s="28">
        <f>+H10*H8</f>
        <v>1054.0710349849946</v>
      </c>
      <c r="K12" s="121"/>
    </row>
    <row r="13" spans="2:12" ht="30" customHeight="1" thickTop="1" thickBot="1" x14ac:dyDescent="0.3">
      <c r="B13" s="5" t="s">
        <v>7</v>
      </c>
      <c r="C13" s="8">
        <f>IF(C5=0,0,(C5*C11)-C12)</f>
        <v>293.27</v>
      </c>
      <c r="D13" s="40"/>
      <c r="E13" s="44" t="s">
        <v>47</v>
      </c>
      <c r="F13" s="6"/>
      <c r="G13" s="32" t="s">
        <v>10</v>
      </c>
      <c r="H13" s="29">
        <f>(((H6+1)^(1/12))-1)*C4</f>
        <v>135.2617491180541</v>
      </c>
      <c r="K13" s="121"/>
    </row>
    <row r="14" spans="2:12" ht="30" customHeight="1" thickTop="1" thickBot="1" x14ac:dyDescent="0.3">
      <c r="B14" s="17" t="s">
        <v>28</v>
      </c>
      <c r="C14" s="25">
        <f>+DESCONTO!D15</f>
        <v>2.3482212169977982E-2</v>
      </c>
      <c r="D14" s="23"/>
      <c r="E14" s="23"/>
      <c r="F14" s="6"/>
      <c r="G14" s="18" t="s">
        <v>12</v>
      </c>
      <c r="H14" s="43">
        <f>+H10-H11-H12-H13</f>
        <v>1106.801261101863</v>
      </c>
      <c r="K14" s="121"/>
    </row>
    <row r="15" spans="2:12" ht="30" customHeight="1" thickTop="1" thickBot="1" x14ac:dyDescent="0.3">
      <c r="B15" s="17" t="s">
        <v>29</v>
      </c>
      <c r="C15" s="11">
        <f>IF(C5&lt;=0,0,(C5*12)*C14)</f>
        <v>1183.5034933668903</v>
      </c>
      <c r="D15" s="23"/>
      <c r="E15" s="44" t="s">
        <v>47</v>
      </c>
      <c r="F15" s="6"/>
      <c r="G15" s="18" t="s">
        <v>30</v>
      </c>
      <c r="H15" s="43">
        <f>+H14*12</f>
        <v>13281.615133222356</v>
      </c>
    </row>
    <row r="16" spans="2:12" ht="30" customHeight="1" thickTop="1" thickBot="1" x14ac:dyDescent="0.3">
      <c r="B16" s="17" t="s">
        <v>55</v>
      </c>
      <c r="C16" s="36">
        <v>0.04</v>
      </c>
      <c r="D16" s="41"/>
      <c r="E16" s="23"/>
      <c r="F16" s="6"/>
      <c r="G16" s="62" t="s">
        <v>45</v>
      </c>
      <c r="H16" s="63">
        <f>+H15/C4</f>
        <v>2.0433254051111318E-2</v>
      </c>
    </row>
    <row r="17" spans="2:10" ht="30" customHeight="1" thickTop="1" thickBot="1" x14ac:dyDescent="0.3">
      <c r="B17" s="17" t="s">
        <v>19</v>
      </c>
      <c r="C17" s="11">
        <f>+C4*C16</f>
        <v>26000</v>
      </c>
      <c r="D17" s="40"/>
      <c r="E17" s="44" t="s">
        <v>47</v>
      </c>
      <c r="F17" s="6"/>
      <c r="H17" s="24"/>
    </row>
    <row r="18" spans="2:10" ht="30" customHeight="1" thickTop="1" thickBot="1" x14ac:dyDescent="0.3">
      <c r="B18" s="68" t="s">
        <v>11</v>
      </c>
      <c r="C18" s="122">
        <f>C5+IF(E6="Locador",C6*-1,C6)+IF(E7="Locador",(C7/12)*-1,(C7/12))+IF(E8="Locador",(C8/12)*-1,(C8/12))+IF(E9="Locador",(C9/12)*-1,(C9/12))+IF(E13="Locador",C13*-1,C13)+IF(E15="Locador",(C15/12)*-1,(C15/12))+IF(E17="Locador",(C17/12)*-1,(C17/12))</f>
        <v>349.77137555275931</v>
      </c>
      <c r="D18" s="23"/>
      <c r="E18" s="23"/>
      <c r="G18" s="33" t="s">
        <v>32</v>
      </c>
      <c r="H18" s="34">
        <f>+C20-H15</f>
        <v>-5234.3586265892445</v>
      </c>
    </row>
    <row r="19" spans="2:10" ht="30" customHeight="1" thickTop="1" thickBot="1" x14ac:dyDescent="0.3">
      <c r="B19" s="68" t="s">
        <v>3</v>
      </c>
      <c r="C19" s="122">
        <f>C5+IF(E6="Locador",C6*-1,C6)+IF(E7="Locador",(C7/12)*-1,(C7/12))+IF(E8="Locador",(C8/12)*-1,(C8/12))+IF(E13="Locador",C13*-1,C13)+IF(E15="Locador",(C15/12)*-1,(C15/12))+IF(E17="Locador",(C17/12)*-1,(C17/12))</f>
        <v>699.77137555275931</v>
      </c>
      <c r="D19" s="23"/>
      <c r="E19" s="23"/>
      <c r="G19" s="64" t="s">
        <v>46</v>
      </c>
      <c r="H19" s="65">
        <f>+H18/C4</f>
        <v>-8.0528594255219153E-3</v>
      </c>
      <c r="J19" s="45"/>
    </row>
    <row r="20" spans="2:10" ht="30" customHeight="1" thickTop="1" thickBot="1" x14ac:dyDescent="0.3">
      <c r="B20" s="69" t="s">
        <v>31</v>
      </c>
      <c r="C20" s="123">
        <f>C18+(C19*11)</f>
        <v>8047.2565066331117</v>
      </c>
      <c r="D20" s="23"/>
      <c r="E20" s="133" t="str">
        <f>IF(H18&gt;=0,"Vale a pena o aluguel","Vale a pena a aplicação")</f>
        <v>Vale a pena a aplicação</v>
      </c>
      <c r="F20" s="134"/>
      <c r="G20" s="134"/>
      <c r="H20" s="135"/>
    </row>
    <row r="21" spans="2:10" ht="40.5" customHeight="1" thickTop="1" thickBot="1" x14ac:dyDescent="0.3">
      <c r="B21" s="70" t="s">
        <v>49</v>
      </c>
      <c r="C21" s="61">
        <f>+C20/C4</f>
        <v>1.2380394625589403E-2</v>
      </c>
      <c r="D21" s="23"/>
      <c r="E21" s="136"/>
      <c r="F21" s="137"/>
      <c r="G21" s="137"/>
      <c r="H21" s="138"/>
    </row>
    <row r="22" spans="2:10" ht="3" customHeight="1" thickTop="1" thickBot="1" x14ac:dyDescent="0.3">
      <c r="B22" s="71"/>
      <c r="C22" s="72"/>
      <c r="D22" s="72"/>
      <c r="E22" s="72"/>
      <c r="F22" s="72"/>
      <c r="G22" s="72"/>
      <c r="H22" s="73"/>
    </row>
    <row r="23" spans="2:10" ht="15.75" thickTop="1" x14ac:dyDescent="0.25"/>
  </sheetData>
  <sheetProtection algorithmName="SHA-512" hashValue="mnnnKi8bQ2cC7LLD+hES6RFjqH8QvCdyBKuXF0IIK6Z6UJZuHdh3rNFa/XO7AKpLfJFItq7oKHSswhQ7ZSyHyQ==" saltValue="QSdEckVJdZM316HlbJbF4A==" spinCount="100000" sheet="1" objects="1" scenarios="1" selectLockedCells="1"/>
  <mergeCells count="3">
    <mergeCell ref="C2:H2"/>
    <mergeCell ref="E4:E5"/>
    <mergeCell ref="E20:H21"/>
  </mergeCells>
  <conditionalFormatting sqref="E6">
    <cfRule type="containsText" dxfId="13" priority="13" operator="containsText" text="Locador">
      <formula>NOT(ISERROR(SEARCH("Locador",E6)))</formula>
    </cfRule>
    <cfRule type="containsText" dxfId="12" priority="14" operator="containsText" text="Locatário">
      <formula>NOT(ISERROR(SEARCH("Locatário",E6)))</formula>
    </cfRule>
  </conditionalFormatting>
  <conditionalFormatting sqref="E7">
    <cfRule type="containsText" dxfId="11" priority="11" operator="containsText" text="Locador">
      <formula>NOT(ISERROR(SEARCH("Locador",E7)))</formula>
    </cfRule>
    <cfRule type="containsText" dxfId="10" priority="12" operator="containsText" text="Locatário">
      <formula>NOT(ISERROR(SEARCH("Locatário",E7)))</formula>
    </cfRule>
  </conditionalFormatting>
  <conditionalFormatting sqref="E8:E9">
    <cfRule type="containsText" dxfId="9" priority="9" operator="containsText" text="Locador">
      <formula>NOT(ISERROR(SEARCH("Locador",E8)))</formula>
    </cfRule>
    <cfRule type="containsText" dxfId="8" priority="10" operator="containsText" text="Locatário">
      <formula>NOT(ISERROR(SEARCH("Locatário",E8)))</formula>
    </cfRule>
  </conditionalFormatting>
  <conditionalFormatting sqref="E13">
    <cfRule type="containsText" dxfId="7" priority="7" operator="containsText" text="Locador">
      <formula>NOT(ISERROR(SEARCH("Locador",E13)))</formula>
    </cfRule>
    <cfRule type="containsText" dxfId="6" priority="8" operator="containsText" text="Locatário">
      <formula>NOT(ISERROR(SEARCH("Locatário",E13)))</formula>
    </cfRule>
  </conditionalFormatting>
  <conditionalFormatting sqref="E15">
    <cfRule type="containsText" dxfId="5" priority="5" operator="containsText" text="Locador">
      <formula>NOT(ISERROR(SEARCH("Locador",E15)))</formula>
    </cfRule>
    <cfRule type="containsText" dxfId="4" priority="6" operator="containsText" text="Locatário">
      <formula>NOT(ISERROR(SEARCH("Locatário",E15)))</formula>
    </cfRule>
  </conditionalFormatting>
  <conditionalFormatting sqref="E17">
    <cfRule type="containsText" dxfId="3" priority="3" operator="containsText" text="Locador">
      <formula>NOT(ISERROR(SEARCH("Locador",E17)))</formula>
    </cfRule>
    <cfRule type="containsText" dxfId="2" priority="4" operator="containsText" text="Locatário">
      <formula>NOT(ISERROR(SEARCH("Locatário",E17)))</formula>
    </cfRule>
  </conditionalFormatting>
  <conditionalFormatting sqref="E7">
    <cfRule type="containsText" dxfId="1" priority="1" operator="containsText" text="Locador">
      <formula>NOT(ISERROR(SEARCH("Locador",E7)))</formula>
    </cfRule>
    <cfRule type="containsText" dxfId="0" priority="2" operator="containsText" text="Locatário">
      <formula>NOT(ISERROR(SEARCH("Locatário",E7)))</formula>
    </cfRule>
  </conditionalFormatting>
  <dataValidations count="1">
    <dataValidation type="list" allowBlank="1" showInputMessage="1" showErrorMessage="1" sqref="E13 E15 E17 E6:E9" xr:uid="{00000000-0002-0000-0000-000000000000}">
      <formula1>"Locador,Locatário"</formula1>
    </dataValidation>
  </dataValidations>
  <printOptions horizontalCentered="1" verticalCentered="1"/>
  <pageMargins left="0.11811023622047245" right="0.11811023622047245" top="0.19685039370078741" bottom="0.39370078740157483" header="0.31496062992125984" footer="0.31496062992125984"/>
  <pageSetup paperSize="9" scale="90" orientation="landscape" r:id="rId1"/>
  <headerFooter>
    <oddFooter>&amp;LTeam PreviHonda</oddFooter>
  </headerFooter>
  <ignoredErrors>
    <ignoredError sqref="C9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F16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 x14ac:dyDescent="0.25"/>
  <cols>
    <col min="1" max="1" width="13.42578125" style="1" customWidth="1"/>
    <col min="2" max="2" width="16.85546875" style="1" bestFit="1" customWidth="1"/>
    <col min="3" max="3" width="18.85546875" style="1" bestFit="1" customWidth="1"/>
    <col min="4" max="4" width="10.42578125" style="1" customWidth="1"/>
    <col min="5" max="5" width="11.140625" style="1" bestFit="1" customWidth="1"/>
    <col min="6" max="6" width="16.85546875" style="1" bestFit="1" customWidth="1"/>
    <col min="7" max="16384" width="9.140625" style="1"/>
  </cols>
  <sheetData>
    <row r="1" spans="1:6" ht="39.75" customHeight="1" x14ac:dyDescent="0.25">
      <c r="A1" s="141" t="s">
        <v>20</v>
      </c>
      <c r="B1" s="143" t="s">
        <v>21</v>
      </c>
      <c r="C1" s="46" t="s">
        <v>22</v>
      </c>
      <c r="D1" s="145" t="s">
        <v>23</v>
      </c>
      <c r="E1" s="143" t="s">
        <v>24</v>
      </c>
      <c r="F1" s="147" t="s">
        <v>25</v>
      </c>
    </row>
    <row r="2" spans="1:6" ht="20.100000000000001" customHeight="1" thickBot="1" x14ac:dyDescent="0.3">
      <c r="A2" s="142"/>
      <c r="B2" s="144"/>
      <c r="C2" s="58">
        <f>+BASE!H5</f>
        <v>4.4999999999999998E-2</v>
      </c>
      <c r="D2" s="146"/>
      <c r="E2" s="144"/>
      <c r="F2" s="148"/>
    </row>
    <row r="3" spans="1:6" ht="20.100000000000001" customHeight="1" x14ac:dyDescent="0.25">
      <c r="A3" s="59">
        <f ca="1">TODAY()</f>
        <v>45344</v>
      </c>
      <c r="B3" s="60">
        <f>+BASE!C5</f>
        <v>4200</v>
      </c>
      <c r="C3" s="47">
        <f>((C2+1)^(1/12))-1</f>
        <v>3.6748094004368514E-3</v>
      </c>
      <c r="D3" s="47">
        <f>+C3</f>
        <v>3.6748094004368514E-3</v>
      </c>
      <c r="E3" s="48">
        <f t="shared" ref="E3:E14" si="0">+B3-F3</f>
        <v>15.377689404254852</v>
      </c>
      <c r="F3" s="49">
        <f>PV(D3,1,-B3,0)</f>
        <v>4184.6223105957451</v>
      </c>
    </row>
    <row r="4" spans="1:6" ht="20.100000000000001" customHeight="1" x14ac:dyDescent="0.25">
      <c r="A4" s="50">
        <f ca="1">EDATE(A3,1)</f>
        <v>45373</v>
      </c>
      <c r="B4" s="51">
        <f>+B3</f>
        <v>4200</v>
      </c>
      <c r="C4" s="52">
        <f>+C3</f>
        <v>3.6748094004368514E-3</v>
      </c>
      <c r="D4" s="52">
        <f>((D3+1)*(C4+1))-1</f>
        <v>7.3631230250033042E-3</v>
      </c>
      <c r="E4" s="51">
        <f t="shared" si="0"/>
        <v>30.699075634363908</v>
      </c>
      <c r="F4" s="53">
        <f>PV(D4,1,-B4,0)</f>
        <v>4169.3009243656361</v>
      </c>
    </row>
    <row r="5" spans="1:6" ht="20.100000000000001" customHeight="1" x14ac:dyDescent="0.25">
      <c r="A5" s="50">
        <f ca="1">EDATE(A4,1)</f>
        <v>45404</v>
      </c>
      <c r="B5" s="51">
        <f t="shared" ref="B5:C14" si="1">+B4</f>
        <v>4200</v>
      </c>
      <c r="C5" s="52">
        <f t="shared" si="1"/>
        <v>3.6748094004368514E-3</v>
      </c>
      <c r="D5" s="52">
        <f t="shared" ref="D5:D14" si="2">((D4+1)*(C5+1))-1</f>
        <v>1.1064990499149108E-2</v>
      </c>
      <c r="E5" s="51">
        <f t="shared" si="0"/>
        <v>45.964364836214372</v>
      </c>
      <c r="F5" s="53">
        <f t="shared" ref="F5:F14" si="3">PV(D5,1,-B5,0)</f>
        <v>4154.0356351637856</v>
      </c>
    </row>
    <row r="6" spans="1:6" ht="20.100000000000001" customHeight="1" x14ac:dyDescent="0.25">
      <c r="A6" s="50">
        <f t="shared" ref="A6:A14" ca="1" si="4">EDATE(A5,1)</f>
        <v>45434</v>
      </c>
      <c r="B6" s="51">
        <f t="shared" si="1"/>
        <v>4200</v>
      </c>
      <c r="C6" s="52">
        <f t="shared" si="1"/>
        <v>3.6748094004368514E-3</v>
      </c>
      <c r="D6" s="52">
        <f t="shared" si="2"/>
        <v>1.4780461630687913E-2</v>
      </c>
      <c r="E6" s="51">
        <f t="shared" si="0"/>
        <v>61.17376240091744</v>
      </c>
      <c r="F6" s="53">
        <f t="shared" si="3"/>
        <v>4138.8262375990826</v>
      </c>
    </row>
    <row r="7" spans="1:6" ht="20.100000000000001" customHeight="1" x14ac:dyDescent="0.25">
      <c r="A7" s="50">
        <f t="shared" ca="1" si="4"/>
        <v>45465</v>
      </c>
      <c r="B7" s="51">
        <f t="shared" si="1"/>
        <v>4200</v>
      </c>
      <c r="C7" s="52">
        <f t="shared" si="1"/>
        <v>3.6748094004368514E-3</v>
      </c>
      <c r="D7" s="52">
        <f t="shared" si="2"/>
        <v>1.8509586410468071E-2</v>
      </c>
      <c r="E7" s="51">
        <f t="shared" si="0"/>
        <v>76.327472967579524</v>
      </c>
      <c r="F7" s="53">
        <f t="shared" si="3"/>
        <v>4123.6725270324205</v>
      </c>
    </row>
    <row r="8" spans="1:6" ht="20.100000000000001" customHeight="1" x14ac:dyDescent="0.25">
      <c r="A8" s="50">
        <f t="shared" ca="1" si="4"/>
        <v>45495</v>
      </c>
      <c r="B8" s="51">
        <f t="shared" si="1"/>
        <v>4200</v>
      </c>
      <c r="C8" s="52">
        <f t="shared" si="1"/>
        <v>3.6748094004368514E-3</v>
      </c>
      <c r="D8" s="52">
        <f t="shared" si="2"/>
        <v>2.2252415013044313E-2</v>
      </c>
      <c r="E8" s="51">
        <f t="shared" si="0"/>
        <v>91.425700426047115</v>
      </c>
      <c r="F8" s="53">
        <f t="shared" si="3"/>
        <v>4108.5742995739529</v>
      </c>
    </row>
    <row r="9" spans="1:6" ht="20.100000000000001" customHeight="1" x14ac:dyDescent="0.25">
      <c r="A9" s="50">
        <f t="shared" ca="1" si="4"/>
        <v>45526</v>
      </c>
      <c r="B9" s="51">
        <f t="shared" si="1"/>
        <v>4200</v>
      </c>
      <c r="C9" s="52">
        <f t="shared" si="1"/>
        <v>3.6748094004368514E-3</v>
      </c>
      <c r="D9" s="52">
        <f t="shared" si="2"/>
        <v>2.6008997797353439E-2</v>
      </c>
      <c r="E9" s="51">
        <f t="shared" si="0"/>
        <v>106.46864791965481</v>
      </c>
      <c r="F9" s="53">
        <f t="shared" si="3"/>
        <v>4093.5313520803452</v>
      </c>
    </row>
    <row r="10" spans="1:6" ht="20.100000000000001" customHeight="1" x14ac:dyDescent="0.25">
      <c r="A10" s="50">
        <f t="shared" ca="1" si="4"/>
        <v>45557</v>
      </c>
      <c r="B10" s="51">
        <f t="shared" si="1"/>
        <v>4200</v>
      </c>
      <c r="C10" s="52">
        <f t="shared" si="1"/>
        <v>3.6748094004368514E-3</v>
      </c>
      <c r="D10" s="52">
        <f t="shared" si="2"/>
        <v>2.9779385307391992E-2</v>
      </c>
      <c r="E10" s="51">
        <f t="shared" si="0"/>
        <v>121.45651784795791</v>
      </c>
      <c r="F10" s="53">
        <f t="shared" si="3"/>
        <v>4078.5434821520421</v>
      </c>
    </row>
    <row r="11" spans="1:6" ht="20.100000000000001" customHeight="1" x14ac:dyDescent="0.25">
      <c r="A11" s="50">
        <f t="shared" ca="1" si="4"/>
        <v>45587</v>
      </c>
      <c r="B11" s="51">
        <f t="shared" si="1"/>
        <v>4200</v>
      </c>
      <c r="C11" s="52">
        <f t="shared" si="1"/>
        <v>3.6748094004368514E-3</v>
      </c>
      <c r="D11" s="52">
        <f t="shared" si="2"/>
        <v>3.3563628272895718E-2</v>
      </c>
      <c r="E11" s="51">
        <f t="shared" si="0"/>
        <v>136.38951186945405</v>
      </c>
      <c r="F11" s="53">
        <f t="shared" si="3"/>
        <v>4063.6104881305459</v>
      </c>
    </row>
    <row r="12" spans="1:6" ht="20.100000000000001" customHeight="1" x14ac:dyDescent="0.25">
      <c r="A12" s="50">
        <f t="shared" ca="1" si="4"/>
        <v>45618</v>
      </c>
      <c r="B12" s="51">
        <f t="shared" si="1"/>
        <v>4200</v>
      </c>
      <c r="C12" s="52">
        <f t="shared" si="1"/>
        <v>3.6748094004368514E-3</v>
      </c>
      <c r="D12" s="52">
        <f t="shared" si="2"/>
        <v>3.7361777610022573E-2</v>
      </c>
      <c r="E12" s="51">
        <f t="shared" si="0"/>
        <v>151.26783090429808</v>
      </c>
      <c r="F12" s="53">
        <f t="shared" si="3"/>
        <v>4048.7321690957019</v>
      </c>
    </row>
    <row r="13" spans="1:6" ht="20.100000000000001" customHeight="1" x14ac:dyDescent="0.25">
      <c r="A13" s="50">
        <f t="shared" ca="1" si="4"/>
        <v>45648</v>
      </c>
      <c r="B13" s="51">
        <f t="shared" si="1"/>
        <v>4200</v>
      </c>
      <c r="C13" s="52">
        <f t="shared" si="1"/>
        <v>3.6748094004368514E-3</v>
      </c>
      <c r="D13" s="52">
        <f t="shared" si="2"/>
        <v>4.1173884422037732E-2</v>
      </c>
      <c r="E13" s="51">
        <f t="shared" si="0"/>
        <v>166.09167513700459</v>
      </c>
      <c r="F13" s="53">
        <f t="shared" si="3"/>
        <v>4033.9083248629954</v>
      </c>
    </row>
    <row r="14" spans="1:6" ht="20.100000000000001" customHeight="1" thickBot="1" x14ac:dyDescent="0.3">
      <c r="A14" s="54">
        <f t="shared" ca="1" si="4"/>
        <v>45679</v>
      </c>
      <c r="B14" s="55">
        <f t="shared" si="1"/>
        <v>4200</v>
      </c>
      <c r="C14" s="56">
        <f t="shared" si="1"/>
        <v>3.6748094004368514E-3</v>
      </c>
      <c r="D14" s="56">
        <f t="shared" si="2"/>
        <v>4.5000000000001261E-2</v>
      </c>
      <c r="E14" s="55">
        <f t="shared" si="0"/>
        <v>180.86124401914367</v>
      </c>
      <c r="F14" s="57">
        <f t="shared" si="3"/>
        <v>4019.1387559808563</v>
      </c>
    </row>
    <row r="15" spans="1:6" ht="20.100000000000001" customHeight="1" x14ac:dyDescent="0.25">
      <c r="A15" s="141" t="s">
        <v>26</v>
      </c>
      <c r="B15" s="149">
        <f>SUBTOTAL(9,B3:B14)</f>
        <v>50400</v>
      </c>
      <c r="C15" s="151" t="s">
        <v>27</v>
      </c>
      <c r="D15" s="151">
        <f>IFERROR(E15/B15,0)</f>
        <v>2.3482212169977982E-2</v>
      </c>
      <c r="E15" s="149">
        <f>SUM(E3:E14)</f>
        <v>1183.5034933668903</v>
      </c>
      <c r="F15" s="139">
        <f>SUM(F3:F14)</f>
        <v>49216.496506633113</v>
      </c>
    </row>
    <row r="16" spans="1:6" ht="20.100000000000001" customHeight="1" thickBot="1" x14ac:dyDescent="0.3">
      <c r="A16" s="142"/>
      <c r="B16" s="150"/>
      <c r="C16" s="152"/>
      <c r="D16" s="152"/>
      <c r="E16" s="150"/>
      <c r="F16" s="140"/>
    </row>
  </sheetData>
  <sheetProtection algorithmName="SHA-512" hashValue="ulQ/YbUs/b+F4hH1Udn/GDJC67poTK8oST58lRkqU4M24OwRWm3qMno2+x1KHBbqHuCGD6Z+jdughMuu501qAQ==" saltValue="v5vmlj10lzBVmKixaXwBTg==" spinCount="100000" sheet="1" objects="1" scenarios="1" selectLockedCells="1"/>
  <mergeCells count="11">
    <mergeCell ref="F15:F16"/>
    <mergeCell ref="A1:A2"/>
    <mergeCell ref="B1:B2"/>
    <mergeCell ref="D1:D2"/>
    <mergeCell ref="E1:E2"/>
    <mergeCell ref="F1:F2"/>
    <mergeCell ref="A15:A16"/>
    <mergeCell ref="B15:B16"/>
    <mergeCell ref="C15:C16"/>
    <mergeCell ref="D15:D16"/>
    <mergeCell ref="E15:E16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tabColor theme="6" tint="-0.499984740745262"/>
    <pageSetUpPr fitToPage="1"/>
  </sheetPr>
  <dimension ref="B2:J29"/>
  <sheetViews>
    <sheetView showGridLines="0" workbookViewId="0">
      <pane xSplit="2" ySplit="4" topLeftCell="C5" activePane="bottomRight" state="frozen"/>
      <selection activeCell="B6" sqref="B6"/>
      <selection pane="topRight" activeCell="B6" sqref="B6"/>
      <selection pane="bottomLeft" activeCell="B6" sqref="B6"/>
      <selection pane="bottomRight" activeCell="C5" sqref="C5"/>
    </sheetView>
  </sheetViews>
  <sheetFormatPr defaultColWidth="9.140625" defaultRowHeight="12.75" x14ac:dyDescent="0.25"/>
  <cols>
    <col min="1" max="1" width="2.7109375" style="75" customWidth="1"/>
    <col min="2" max="2" width="16.7109375" style="75" customWidth="1"/>
    <col min="3" max="3" width="16.5703125" style="75" customWidth="1"/>
    <col min="4" max="5" width="12.85546875" style="75" customWidth="1"/>
    <col min="6" max="6" width="2.7109375" style="75" customWidth="1"/>
    <col min="7" max="7" width="12.140625" style="75" customWidth="1"/>
    <col min="8" max="8" width="11.7109375" style="75" customWidth="1"/>
    <col min="9" max="9" width="13.28515625" style="75" bestFit="1" customWidth="1"/>
    <col min="10" max="10" width="10.5703125" style="75" bestFit="1" customWidth="1"/>
    <col min="11" max="16384" width="9.140625" style="75"/>
  </cols>
  <sheetData>
    <row r="2" spans="2:10" ht="20.25" customHeight="1" thickBot="1" x14ac:dyDescent="0.3">
      <c r="B2" s="74" t="s">
        <v>34</v>
      </c>
      <c r="G2" s="74" t="s">
        <v>35</v>
      </c>
    </row>
    <row r="3" spans="2:10" ht="28.5" customHeight="1" x14ac:dyDescent="0.25">
      <c r="B3" s="156" t="s">
        <v>36</v>
      </c>
      <c r="C3" s="157"/>
      <c r="D3" s="160" t="s">
        <v>37</v>
      </c>
      <c r="E3" s="158" t="s">
        <v>38</v>
      </c>
      <c r="G3" s="156" t="s">
        <v>39</v>
      </c>
      <c r="H3" s="157"/>
      <c r="I3" s="158" t="s">
        <v>37</v>
      </c>
    </row>
    <row r="4" spans="2:10" ht="24.95" customHeight="1" thickBot="1" x14ac:dyDescent="0.3">
      <c r="B4" s="76" t="s">
        <v>40</v>
      </c>
      <c r="C4" s="77" t="s">
        <v>41</v>
      </c>
      <c r="D4" s="161"/>
      <c r="E4" s="159"/>
      <c r="G4" s="76" t="s">
        <v>40</v>
      </c>
      <c r="H4" s="77" t="s">
        <v>41</v>
      </c>
      <c r="I4" s="159"/>
    </row>
    <row r="5" spans="2:10" ht="24.95" customHeight="1" x14ac:dyDescent="0.25">
      <c r="B5" s="78">
        <v>0</v>
      </c>
      <c r="C5" s="79">
        <v>2259.1999999999998</v>
      </c>
      <c r="D5" s="80">
        <v>0</v>
      </c>
      <c r="E5" s="81">
        <v>0</v>
      </c>
      <c r="G5" s="82">
        <v>0</v>
      </c>
      <c r="H5" s="83">
        <v>2</v>
      </c>
      <c r="I5" s="84">
        <v>0.35</v>
      </c>
    </row>
    <row r="6" spans="2:10" ht="24.95" customHeight="1" x14ac:dyDescent="0.25">
      <c r="B6" s="85">
        <f>+C5+0.01</f>
        <v>2259.21</v>
      </c>
      <c r="C6" s="86">
        <v>2826.65</v>
      </c>
      <c r="D6" s="87">
        <v>7.4999999999999997E-2</v>
      </c>
      <c r="E6" s="88">
        <v>158.4</v>
      </c>
      <c r="G6" s="89">
        <f>+H5</f>
        <v>2</v>
      </c>
      <c r="H6" s="90">
        <v>4</v>
      </c>
      <c r="I6" s="91">
        <v>0.3</v>
      </c>
    </row>
    <row r="7" spans="2:10" ht="24.95" customHeight="1" x14ac:dyDescent="0.25">
      <c r="B7" s="85">
        <f t="shared" ref="B7:B9" si="0">+C6+0.01</f>
        <v>2826.6600000000003</v>
      </c>
      <c r="C7" s="86">
        <v>3751.05</v>
      </c>
      <c r="D7" s="87">
        <v>0.15</v>
      </c>
      <c r="E7" s="88">
        <v>370.4</v>
      </c>
      <c r="G7" s="89">
        <f t="shared" ref="G7:G10" si="1">+H6</f>
        <v>4</v>
      </c>
      <c r="H7" s="90">
        <v>6</v>
      </c>
      <c r="I7" s="91">
        <v>0.25</v>
      </c>
    </row>
    <row r="8" spans="2:10" ht="24.95" customHeight="1" x14ac:dyDescent="0.25">
      <c r="B8" s="85">
        <f t="shared" si="0"/>
        <v>3751.0600000000004</v>
      </c>
      <c r="C8" s="86">
        <v>4664.68</v>
      </c>
      <c r="D8" s="87">
        <v>0.22500000000000001</v>
      </c>
      <c r="E8" s="88">
        <v>651.73</v>
      </c>
      <c r="G8" s="89">
        <f t="shared" si="1"/>
        <v>6</v>
      </c>
      <c r="H8" s="90">
        <v>8</v>
      </c>
      <c r="I8" s="91">
        <v>0.2</v>
      </c>
    </row>
    <row r="9" spans="2:10" ht="24.95" customHeight="1" thickBot="1" x14ac:dyDescent="0.3">
      <c r="B9" s="92">
        <f t="shared" si="0"/>
        <v>4664.6900000000005</v>
      </c>
      <c r="C9" s="93"/>
      <c r="D9" s="94">
        <v>0.27500000000000002</v>
      </c>
      <c r="E9" s="95">
        <v>884.96</v>
      </c>
      <c r="G9" s="89">
        <f t="shared" si="1"/>
        <v>8</v>
      </c>
      <c r="H9" s="90">
        <v>10</v>
      </c>
      <c r="I9" s="91">
        <v>0.15</v>
      </c>
    </row>
    <row r="10" spans="2:10" ht="24.95" customHeight="1" thickBot="1" x14ac:dyDescent="0.3">
      <c r="B10" s="96" t="s">
        <v>42</v>
      </c>
      <c r="C10" s="97"/>
      <c r="D10" s="98">
        <v>189.59</v>
      </c>
      <c r="G10" s="99">
        <f t="shared" si="1"/>
        <v>10</v>
      </c>
      <c r="H10" s="100"/>
      <c r="I10" s="101">
        <v>0.1</v>
      </c>
    </row>
    <row r="11" spans="2:10" ht="24.95" customHeight="1" x14ac:dyDescent="0.25">
      <c r="B11" s="96" t="s">
        <v>43</v>
      </c>
      <c r="C11" s="97"/>
      <c r="D11" s="98">
        <v>1903.98</v>
      </c>
      <c r="G11" s="102"/>
      <c r="H11" s="102"/>
      <c r="I11" s="103"/>
    </row>
    <row r="12" spans="2:10" ht="24.95" customHeight="1" x14ac:dyDescent="0.25">
      <c r="B12" s="96"/>
      <c r="C12" s="97"/>
      <c r="D12" s="104"/>
      <c r="G12" s="102"/>
      <c r="H12" s="102"/>
      <c r="I12" s="105"/>
    </row>
    <row r="13" spans="2:10" ht="24.95" customHeight="1" thickBot="1" x14ac:dyDescent="0.3">
      <c r="B13" s="74" t="s">
        <v>44</v>
      </c>
      <c r="I13" s="106"/>
    </row>
    <row r="14" spans="2:10" ht="24.95" customHeight="1" x14ac:dyDescent="0.25">
      <c r="B14" s="156" t="s">
        <v>36</v>
      </c>
      <c r="C14" s="157"/>
      <c r="D14" s="160" t="s">
        <v>37</v>
      </c>
      <c r="E14" s="158" t="s">
        <v>38</v>
      </c>
      <c r="H14" s="153" t="s">
        <v>50</v>
      </c>
      <c r="I14" s="154"/>
      <c r="J14" s="155"/>
    </row>
    <row r="15" spans="2:10" ht="24.95" customHeight="1" thickBot="1" x14ac:dyDescent="0.3">
      <c r="B15" s="76" t="s">
        <v>40</v>
      </c>
      <c r="C15" s="77" t="s">
        <v>41</v>
      </c>
      <c r="D15" s="161"/>
      <c r="E15" s="159"/>
      <c r="H15" s="76" t="s">
        <v>40</v>
      </c>
      <c r="I15" s="77" t="s">
        <v>41</v>
      </c>
      <c r="J15" s="119" t="s">
        <v>37</v>
      </c>
    </row>
    <row r="16" spans="2:10" ht="24.95" customHeight="1" x14ac:dyDescent="0.25">
      <c r="B16" s="78">
        <v>0</v>
      </c>
      <c r="C16" s="108">
        <v>24511.919999999998</v>
      </c>
      <c r="D16" s="80">
        <f>+D5</f>
        <v>0</v>
      </c>
      <c r="E16" s="81">
        <f>(E5*12)</f>
        <v>0</v>
      </c>
      <c r="H16" s="111">
        <v>0</v>
      </c>
      <c r="I16" s="112">
        <v>180</v>
      </c>
      <c r="J16" s="113">
        <v>0.22500000000000001</v>
      </c>
    </row>
    <row r="17" spans="2:10" ht="30" customHeight="1" x14ac:dyDescent="0.25">
      <c r="B17" s="85">
        <f>+C16+0.01</f>
        <v>24511.929999999997</v>
      </c>
      <c r="C17" s="86">
        <f>+C6*12</f>
        <v>33919.800000000003</v>
      </c>
      <c r="D17" s="87">
        <f>+D6</f>
        <v>7.4999999999999997E-2</v>
      </c>
      <c r="E17" s="88">
        <v>1838.39</v>
      </c>
      <c r="H17" s="114">
        <f>+I16+1</f>
        <v>181</v>
      </c>
      <c r="I17" s="110">
        <v>360</v>
      </c>
      <c r="J17" s="115">
        <v>0.2</v>
      </c>
    </row>
    <row r="18" spans="2:10" ht="30" customHeight="1" x14ac:dyDescent="0.25">
      <c r="B18" s="85">
        <f t="shared" ref="B18:B20" si="2">+C17+0.01</f>
        <v>33919.810000000005</v>
      </c>
      <c r="C18" s="86">
        <f>+C7*12</f>
        <v>45012.600000000006</v>
      </c>
      <c r="D18" s="87">
        <f>+D7</f>
        <v>0.15</v>
      </c>
      <c r="E18" s="88">
        <v>4382.38</v>
      </c>
      <c r="G18" s="106"/>
      <c r="H18" s="114">
        <f>+I17+1</f>
        <v>361</v>
      </c>
      <c r="I18" s="110">
        <v>720</v>
      </c>
      <c r="J18" s="115">
        <v>0.17499999999999999</v>
      </c>
    </row>
    <row r="19" spans="2:10" ht="30" customHeight="1" thickBot="1" x14ac:dyDescent="0.3">
      <c r="B19" s="85">
        <f t="shared" si="2"/>
        <v>45012.610000000008</v>
      </c>
      <c r="C19" s="86">
        <f>+C8*12</f>
        <v>55976.160000000003</v>
      </c>
      <c r="D19" s="87">
        <f>+D8</f>
        <v>0.22500000000000001</v>
      </c>
      <c r="E19" s="88">
        <v>7758.32</v>
      </c>
      <c r="G19" s="109"/>
      <c r="H19" s="116">
        <f>+I18+1</f>
        <v>721</v>
      </c>
      <c r="I19" s="117"/>
      <c r="J19" s="118">
        <v>0.15</v>
      </c>
    </row>
    <row r="20" spans="2:10" ht="30" customHeight="1" thickBot="1" x14ac:dyDescent="0.3">
      <c r="B20" s="92">
        <f t="shared" si="2"/>
        <v>55976.170000000006</v>
      </c>
      <c r="C20" s="93"/>
      <c r="D20" s="94">
        <f>+D9</f>
        <v>0.27500000000000002</v>
      </c>
      <c r="E20" s="95">
        <v>10557.13</v>
      </c>
      <c r="H20" s="109"/>
    </row>
    <row r="21" spans="2:10" ht="30" customHeight="1" x14ac:dyDescent="0.25">
      <c r="B21" s="126" t="s">
        <v>57</v>
      </c>
      <c r="G21" s="107"/>
    </row>
    <row r="22" spans="2:10" ht="30" customHeight="1" x14ac:dyDescent="0.25"/>
    <row r="23" spans="2:10" ht="30" customHeight="1" x14ac:dyDescent="0.25"/>
    <row r="24" spans="2:10" ht="30" customHeight="1" x14ac:dyDescent="0.25"/>
    <row r="25" spans="2:10" ht="30" customHeight="1" x14ac:dyDescent="0.25"/>
    <row r="26" spans="2:10" ht="30" customHeight="1" x14ac:dyDescent="0.25"/>
    <row r="27" spans="2:10" ht="30" customHeight="1" x14ac:dyDescent="0.25"/>
    <row r="28" spans="2:10" ht="30" customHeight="1" x14ac:dyDescent="0.25"/>
    <row r="29" spans="2:10" ht="30" customHeight="1" x14ac:dyDescent="0.25"/>
  </sheetData>
  <sheetProtection algorithmName="SHA-512" hashValue="md52uQU0NhWr9TFQRM4BL3RcL7PQukzVhIMXU9VlX2vYeo/ivSMqzX9JyCcfs0jyVZn36jIqqFTIphL/wvViag==" saltValue="B5Ql0sUVx9cSb9sSQXVrjw==" spinCount="100000" sheet="1" selectLockedCells="1"/>
  <mergeCells count="9">
    <mergeCell ref="H14:J14"/>
    <mergeCell ref="G3:H3"/>
    <mergeCell ref="I3:I4"/>
    <mergeCell ref="B14:C14"/>
    <mergeCell ref="D14:D15"/>
    <mergeCell ref="E14:E15"/>
    <mergeCell ref="B3:C3"/>
    <mergeCell ref="D3:D4"/>
    <mergeCell ref="E3:E4"/>
  </mergeCells>
  <pageMargins left="0.511811024" right="0.511811024" top="0.78740157499999996" bottom="0.78740157499999996" header="0.31496062000000002" footer="0.31496062000000002"/>
  <pageSetup paperSize="9" scale="96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BASE</vt:lpstr>
      <vt:lpstr>DESCONTO</vt:lpstr>
      <vt:lpstr>TABELA IR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Nascimento</dc:creator>
  <cp:lastModifiedBy>Gilton Nascimento</cp:lastModifiedBy>
  <cp:lastPrinted>2019-03-22T17:08:20Z</cp:lastPrinted>
  <dcterms:created xsi:type="dcterms:W3CDTF">2019-01-30T15:32:08Z</dcterms:created>
  <dcterms:modified xsi:type="dcterms:W3CDTF">2024-02-22T16:57:16Z</dcterms:modified>
</cp:coreProperties>
</file>