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HDA0207-NAS\drh$\PreviHonda\PreviHonda\Banco de Dados\TREINAMENTOS\TREINAMENTOS\SITE\"/>
    </mc:Choice>
  </mc:AlternateContent>
  <xr:revisionPtr revIDLastSave="0" documentId="13_ncr:1_{AAA79384-03EE-45AD-88D5-DE777826B562}" xr6:coauthVersionLast="47" xr6:coauthVersionMax="47" xr10:uidLastSave="{00000000-0000-0000-0000-000000000000}"/>
  <bookViews>
    <workbookView xWindow="-120" yWindow="-120" windowWidth="19440" windowHeight="15000" tabRatio="653" firstSheet="1" activeTab="1" xr2:uid="{00000000-000D-0000-FFFF-FFFF00000000}"/>
  </bookViews>
  <sheets>
    <sheet name="BASE REAL" sheetId="1" state="hidden" r:id="rId1"/>
    <sheet name="BASE" sheetId="2" r:id="rId2"/>
    <sheet name="CONTRIBUIÇÃO NORMAL" sheetId="4" state="hidden" r:id="rId3"/>
    <sheet name="CONTRIBUIÇÃO CONTRATO SUSPENSO" sheetId="5" state="hidden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2" l="1"/>
  <c r="E7" i="2"/>
  <c r="O57" i="2"/>
  <c r="G8" i="2"/>
  <c r="E8" i="2"/>
  <c r="E3" i="4"/>
  <c r="D3" i="5" s="1"/>
  <c r="D5" i="5" s="1"/>
  <c r="D7" i="5" s="1"/>
  <c r="D9" i="5" s="1"/>
  <c r="B14" i="4" a="1"/>
  <c r="B14" i="4" s="1"/>
  <c r="E9" i="4"/>
  <c r="B8" i="4"/>
  <c r="B7" i="4"/>
  <c r="E6" i="4"/>
  <c r="B6" i="4"/>
  <c r="E5" i="4" l="1"/>
  <c r="E7" i="4"/>
  <c r="E11" i="4"/>
  <c r="E13" i="4" s="1"/>
  <c r="E8" i="4"/>
  <c r="C8" i="2" l="1"/>
  <c r="K8" i="2"/>
  <c r="B9" i="2" l="1"/>
  <c r="G4" i="2"/>
  <c r="J4" i="2" s="1"/>
  <c r="C9" i="2" l="1"/>
  <c r="G9" i="2"/>
  <c r="F9" i="2"/>
  <c r="L9" i="2"/>
  <c r="K9" i="2"/>
  <c r="B10" i="2"/>
  <c r="D9" i="2"/>
  <c r="H9" i="2" s="1"/>
  <c r="I8" i="2"/>
  <c r="H8" i="2"/>
  <c r="M8" i="2"/>
  <c r="H55" i="2" s="1"/>
  <c r="C10" i="2" l="1"/>
  <c r="G10" i="2"/>
  <c r="O59" i="2"/>
  <c r="M9" i="2"/>
  <c r="N9" i="2" s="1"/>
  <c r="B11" i="2"/>
  <c r="C11" i="2" s="1"/>
  <c r="L10" i="2"/>
  <c r="K10" i="2"/>
  <c r="I9" i="2"/>
  <c r="E9" i="2"/>
  <c r="F10" i="2"/>
  <c r="D10" i="2"/>
  <c r="I10" i="2" s="1"/>
  <c r="N8" i="2"/>
  <c r="J8" i="2"/>
  <c r="M43" i="1"/>
  <c r="G11" i="1"/>
  <c r="G7" i="1"/>
  <c r="G3" i="1"/>
  <c r="J38" i="1"/>
  <c r="I38" i="1"/>
  <c r="D11" i="1"/>
  <c r="D10" i="1"/>
  <c r="G10" i="1" s="1"/>
  <c r="D9" i="1"/>
  <c r="E9" i="1" s="1"/>
  <c r="D8" i="1"/>
  <c r="E8" i="1" s="1"/>
  <c r="D7" i="1"/>
  <c r="D6" i="1"/>
  <c r="G6" i="1" s="1"/>
  <c r="D5" i="1"/>
  <c r="G5" i="1" s="1"/>
  <c r="D4" i="1"/>
  <c r="E4" i="1" s="1"/>
  <c r="D3" i="1"/>
  <c r="D12" i="1"/>
  <c r="G12" i="1" s="1"/>
  <c r="L11" i="1"/>
  <c r="L8" i="1"/>
  <c r="K12" i="1"/>
  <c r="L12" i="1" s="1"/>
  <c r="E12" i="1"/>
  <c r="K11" i="1"/>
  <c r="E11" i="1"/>
  <c r="K10" i="1"/>
  <c r="L10" i="1" s="1"/>
  <c r="E10" i="1"/>
  <c r="K9" i="1"/>
  <c r="L9" i="1" s="1"/>
  <c r="K8" i="1"/>
  <c r="K7" i="1"/>
  <c r="L7" i="1" s="1"/>
  <c r="E7" i="1"/>
  <c r="K6" i="1"/>
  <c r="L6" i="1" s="1"/>
  <c r="K5" i="1"/>
  <c r="L5" i="1" s="1"/>
  <c r="E5" i="1"/>
  <c r="K4" i="1"/>
  <c r="L4" i="1" s="1"/>
  <c r="K3" i="1"/>
  <c r="L3" i="1" s="1"/>
  <c r="E3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K37" i="1"/>
  <c r="L37" i="1" s="1"/>
  <c r="K36" i="1"/>
  <c r="L36" i="1" s="1"/>
  <c r="K35" i="1"/>
  <c r="L35" i="1" s="1"/>
  <c r="K34" i="1"/>
  <c r="L34" i="1" s="1"/>
  <c r="K33" i="1"/>
  <c r="L33" i="1" s="1"/>
  <c r="K32" i="1"/>
  <c r="L32" i="1" s="1"/>
  <c r="K31" i="1"/>
  <c r="L31" i="1" s="1"/>
  <c r="K30" i="1"/>
  <c r="L30" i="1" s="1"/>
  <c r="K29" i="1"/>
  <c r="L29" i="1" s="1"/>
  <c r="K28" i="1"/>
  <c r="L28" i="1" s="1"/>
  <c r="K27" i="1"/>
  <c r="L27" i="1" s="1"/>
  <c r="K26" i="1"/>
  <c r="L26" i="1" s="1"/>
  <c r="K25" i="1"/>
  <c r="L25" i="1" s="1"/>
  <c r="K24" i="1"/>
  <c r="L24" i="1" s="1"/>
  <c r="K23" i="1"/>
  <c r="L23" i="1" s="1"/>
  <c r="K22" i="1"/>
  <c r="L22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E6" i="1" l="1"/>
  <c r="G4" i="1"/>
  <c r="G8" i="1"/>
  <c r="G9" i="1"/>
  <c r="G11" i="2"/>
  <c r="O53" i="2"/>
  <c r="O55" i="2" s="1"/>
  <c r="J7" i="2"/>
  <c r="K11" i="2"/>
  <c r="L11" i="2"/>
  <c r="J9" i="2"/>
  <c r="M10" i="2"/>
  <c r="N10" i="2" s="1"/>
  <c r="B12" i="2"/>
  <c r="C12" i="2" s="1"/>
  <c r="E10" i="2"/>
  <c r="H10" i="2"/>
  <c r="F11" i="2"/>
  <c r="D11" i="2"/>
  <c r="O8" i="2"/>
  <c r="L38" i="1"/>
  <c r="H8" i="1"/>
  <c r="H4" i="1"/>
  <c r="K38" i="1"/>
  <c r="H9" i="1"/>
  <c r="H5" i="1"/>
  <c r="H3" i="1"/>
  <c r="M3" i="1" s="1"/>
  <c r="H6" i="1"/>
  <c r="H10" i="1"/>
  <c r="H11" i="1"/>
  <c r="H12" i="1"/>
  <c r="H7" i="1"/>
  <c r="H2" i="1"/>
  <c r="E13" i="1"/>
  <c r="H13" i="1" s="1"/>
  <c r="G12" i="2" l="1"/>
  <c r="O9" i="2"/>
  <c r="M11" i="2"/>
  <c r="N11" i="2" s="1"/>
  <c r="B13" i="2"/>
  <c r="C13" i="2" s="1"/>
  <c r="L12" i="2"/>
  <c r="K12" i="2"/>
  <c r="J10" i="2"/>
  <c r="D12" i="2"/>
  <c r="I12" i="2" s="1"/>
  <c r="F12" i="2"/>
  <c r="I11" i="2"/>
  <c r="E11" i="2"/>
  <c r="H11" i="2"/>
  <c r="M4" i="1"/>
  <c r="M5" i="1" s="1"/>
  <c r="M6" i="1" s="1"/>
  <c r="M7" i="1" s="1"/>
  <c r="M8" i="1" s="1"/>
  <c r="M9" i="1" s="1"/>
  <c r="M10" i="1" s="1"/>
  <c r="M11" i="1" s="1"/>
  <c r="M12" i="1" s="1"/>
  <c r="M13" i="1" s="1"/>
  <c r="E15" i="1"/>
  <c r="E14" i="1"/>
  <c r="K13" i="2" l="1"/>
  <c r="G13" i="2"/>
  <c r="O10" i="2"/>
  <c r="L13" i="2"/>
  <c r="M13" i="2" s="1"/>
  <c r="M12" i="2"/>
  <c r="N12" i="2" s="1"/>
  <c r="B14" i="2"/>
  <c r="C14" i="2" s="1"/>
  <c r="D13" i="2"/>
  <c r="I13" i="2" s="1"/>
  <c r="E12" i="2"/>
  <c r="H12" i="2"/>
  <c r="J11" i="2"/>
  <c r="F13" i="2"/>
  <c r="H14" i="1"/>
  <c r="M14" i="1" s="1"/>
  <c r="M15" i="1" s="1"/>
  <c r="H15" i="1"/>
  <c r="E16" i="1"/>
  <c r="G14" i="2" l="1"/>
  <c r="O11" i="2"/>
  <c r="H13" i="2"/>
  <c r="B15" i="2"/>
  <c r="C15" i="2" s="1"/>
  <c r="K14" i="2"/>
  <c r="L14" i="2"/>
  <c r="E13" i="2"/>
  <c r="J12" i="2"/>
  <c r="N13" i="2"/>
  <c r="F14" i="2"/>
  <c r="D14" i="2"/>
  <c r="H16" i="1"/>
  <c r="M16" i="1" s="1"/>
  <c r="E17" i="1"/>
  <c r="H17" i="1" s="1"/>
  <c r="O12" i="2" l="1"/>
  <c r="G15" i="2"/>
  <c r="L15" i="2"/>
  <c r="K15" i="2"/>
  <c r="J13" i="2"/>
  <c r="M14" i="2"/>
  <c r="N14" i="2" s="1"/>
  <c r="B16" i="2"/>
  <c r="C16" i="2" s="1"/>
  <c r="D15" i="2"/>
  <c r="I15" i="2" s="1"/>
  <c r="E14" i="2"/>
  <c r="F15" i="2"/>
  <c r="I14" i="2"/>
  <c r="H14" i="2"/>
  <c r="M17" i="1"/>
  <c r="E18" i="1"/>
  <c r="O13" i="2" l="1"/>
  <c r="G16" i="2"/>
  <c r="M15" i="2"/>
  <c r="N15" i="2" s="1"/>
  <c r="B17" i="2"/>
  <c r="C17" i="2" s="1"/>
  <c r="F16" i="2"/>
  <c r="L16" i="2"/>
  <c r="K16" i="2"/>
  <c r="H15" i="2"/>
  <c r="E15" i="2"/>
  <c r="J14" i="2"/>
  <c r="O14" i="2" s="1"/>
  <c r="D16" i="2"/>
  <c r="E16" i="2" s="1"/>
  <c r="E19" i="1"/>
  <c r="H18" i="1"/>
  <c r="M18" i="1" s="1"/>
  <c r="L17" i="2" l="1"/>
  <c r="G17" i="2"/>
  <c r="G18" i="2" s="1"/>
  <c r="K17" i="2"/>
  <c r="M17" i="2" s="1"/>
  <c r="M16" i="2"/>
  <c r="N16" i="2" s="1"/>
  <c r="B18" i="2"/>
  <c r="J15" i="2"/>
  <c r="O15" i="2" s="1"/>
  <c r="H16" i="2"/>
  <c r="I16" i="2"/>
  <c r="D17" i="2"/>
  <c r="H17" i="2" s="1"/>
  <c r="F17" i="2"/>
  <c r="H19" i="1"/>
  <c r="M19" i="1" s="1"/>
  <c r="E20" i="1"/>
  <c r="K18" i="2" l="1"/>
  <c r="C18" i="2"/>
  <c r="B19" i="2"/>
  <c r="G19" i="2" s="1"/>
  <c r="L18" i="2"/>
  <c r="E17" i="2"/>
  <c r="J16" i="2"/>
  <c r="O16" i="2" s="1"/>
  <c r="F18" i="2"/>
  <c r="D18" i="2"/>
  <c r="N17" i="2"/>
  <c r="I17" i="2"/>
  <c r="E21" i="1"/>
  <c r="H20" i="1"/>
  <c r="M20" i="1" s="1"/>
  <c r="F19" i="2" l="1"/>
  <c r="D19" i="2"/>
  <c r="C19" i="2"/>
  <c r="L19" i="2"/>
  <c r="M18" i="2"/>
  <c r="N18" i="2" s="1"/>
  <c r="B20" i="2"/>
  <c r="G20" i="2" s="1"/>
  <c r="K19" i="2"/>
  <c r="J17" i="2"/>
  <c r="O17" i="2" s="1"/>
  <c r="E18" i="2"/>
  <c r="H18" i="2"/>
  <c r="I18" i="2"/>
  <c r="H21" i="1"/>
  <c r="M21" i="1" s="1"/>
  <c r="E22" i="1"/>
  <c r="D20" i="2" l="1"/>
  <c r="E19" i="2"/>
  <c r="H19" i="2"/>
  <c r="I19" i="2"/>
  <c r="L20" i="2"/>
  <c r="M19" i="2"/>
  <c r="N19" i="2" s="1"/>
  <c r="F20" i="2"/>
  <c r="C20" i="2"/>
  <c r="K20" i="2"/>
  <c r="M20" i="2" s="1"/>
  <c r="B21" i="2"/>
  <c r="L21" i="2" s="1"/>
  <c r="I20" i="2"/>
  <c r="J18" i="2"/>
  <c r="O18" i="2" s="1"/>
  <c r="E23" i="1"/>
  <c r="H22" i="1"/>
  <c r="M22" i="1" s="1"/>
  <c r="G21" i="2" l="1"/>
  <c r="J19" i="2"/>
  <c r="O19" i="2" s="1"/>
  <c r="C21" i="2"/>
  <c r="B22" i="2"/>
  <c r="K21" i="2"/>
  <c r="E20" i="2"/>
  <c r="N20" i="2"/>
  <c r="H20" i="2"/>
  <c r="F21" i="2"/>
  <c r="D21" i="2"/>
  <c r="H23" i="1"/>
  <c r="M23" i="1" s="1"/>
  <c r="E24" i="1"/>
  <c r="K22" i="2" l="1"/>
  <c r="G22" i="2"/>
  <c r="C22" i="2"/>
  <c r="M21" i="2"/>
  <c r="N21" i="2" s="1"/>
  <c r="B23" i="2"/>
  <c r="L22" i="2"/>
  <c r="M22" i="2" s="1"/>
  <c r="J20" i="2"/>
  <c r="O20" i="2" s="1"/>
  <c r="D22" i="2"/>
  <c r="H22" i="2" s="1"/>
  <c r="F22" i="2"/>
  <c r="E21" i="2"/>
  <c r="H21" i="2"/>
  <c r="I21" i="2"/>
  <c r="H24" i="1"/>
  <c r="M24" i="1" s="1"/>
  <c r="E25" i="1"/>
  <c r="C23" i="2" l="1"/>
  <c r="G23" i="2"/>
  <c r="K23" i="2"/>
  <c r="B24" i="2"/>
  <c r="L23" i="2"/>
  <c r="I22" i="2"/>
  <c r="E22" i="2"/>
  <c r="F23" i="2"/>
  <c r="J21" i="2"/>
  <c r="O21" i="2" s="1"/>
  <c r="N22" i="2"/>
  <c r="D23" i="2"/>
  <c r="I23" i="2" s="1"/>
  <c r="H25" i="1"/>
  <c r="M25" i="1" s="1"/>
  <c r="E26" i="1"/>
  <c r="H26" i="1" s="1"/>
  <c r="C24" i="2" l="1"/>
  <c r="G24" i="2"/>
  <c r="J22" i="2"/>
  <c r="O22" i="2" s="1"/>
  <c r="F24" i="2"/>
  <c r="L24" i="2"/>
  <c r="M23" i="2"/>
  <c r="N23" i="2" s="1"/>
  <c r="B25" i="2"/>
  <c r="K24" i="2"/>
  <c r="D24" i="2"/>
  <c r="H24" i="2" s="1"/>
  <c r="E23" i="2"/>
  <c r="H23" i="2"/>
  <c r="M26" i="1"/>
  <c r="E27" i="1"/>
  <c r="C25" i="2" l="1"/>
  <c r="G25" i="2"/>
  <c r="M24" i="2"/>
  <c r="N24" i="2" s="1"/>
  <c r="B26" i="2"/>
  <c r="L25" i="2"/>
  <c r="K25" i="2"/>
  <c r="J23" i="2"/>
  <c r="O23" i="2" s="1"/>
  <c r="E24" i="2"/>
  <c r="F25" i="2"/>
  <c r="D25" i="2"/>
  <c r="I24" i="2"/>
  <c r="H27" i="1"/>
  <c r="M27" i="1" s="1"/>
  <c r="E28" i="1"/>
  <c r="C26" i="2" l="1"/>
  <c r="G26" i="2"/>
  <c r="D26" i="2"/>
  <c r="E26" i="2" s="1"/>
  <c r="K26" i="2"/>
  <c r="L26" i="2"/>
  <c r="M25" i="2"/>
  <c r="N25" i="2" s="1"/>
  <c r="B27" i="2"/>
  <c r="J24" i="2"/>
  <c r="O24" i="2" s="1"/>
  <c r="I25" i="2"/>
  <c r="F26" i="2"/>
  <c r="E25" i="2"/>
  <c r="H25" i="2"/>
  <c r="H28" i="1"/>
  <c r="M28" i="1" s="1"/>
  <c r="E29" i="1"/>
  <c r="G27" i="2" l="1"/>
  <c r="I26" i="2"/>
  <c r="M26" i="2"/>
  <c r="N26" i="2" s="1"/>
  <c r="H26" i="2"/>
  <c r="J26" i="2" s="1"/>
  <c r="K27" i="2"/>
  <c r="C27" i="2"/>
  <c r="B28" i="2"/>
  <c r="F27" i="2"/>
  <c r="D27" i="2"/>
  <c r="H27" i="2" s="1"/>
  <c r="L27" i="2"/>
  <c r="J25" i="2"/>
  <c r="O25" i="2" s="1"/>
  <c r="H29" i="1"/>
  <c r="M29" i="1" s="1"/>
  <c r="E30" i="1"/>
  <c r="G28" i="2" l="1"/>
  <c r="M27" i="2"/>
  <c r="N27" i="2" s="1"/>
  <c r="E27" i="2"/>
  <c r="C28" i="2"/>
  <c r="I27" i="2"/>
  <c r="F28" i="2"/>
  <c r="B29" i="2"/>
  <c r="G29" i="2" s="1"/>
  <c r="L28" i="2"/>
  <c r="K28" i="2"/>
  <c r="O26" i="2"/>
  <c r="D28" i="2"/>
  <c r="H30" i="1"/>
  <c r="M30" i="1" s="1"/>
  <c r="E31" i="1"/>
  <c r="H31" i="1" s="1"/>
  <c r="M28" i="2" l="1"/>
  <c r="N28" i="2" s="1"/>
  <c r="J27" i="2"/>
  <c r="O27" i="2" s="1"/>
  <c r="C29" i="2"/>
  <c r="L29" i="2"/>
  <c r="K29" i="2"/>
  <c r="B30" i="2"/>
  <c r="G30" i="2" s="1"/>
  <c r="D29" i="2"/>
  <c r="I29" i="2" s="1"/>
  <c r="F29" i="2"/>
  <c r="H28" i="2"/>
  <c r="I28" i="2"/>
  <c r="E28" i="2"/>
  <c r="M31" i="1"/>
  <c r="E32" i="1"/>
  <c r="M29" i="2" l="1"/>
  <c r="N29" i="2" s="1"/>
  <c r="D30" i="2"/>
  <c r="H30" i="2" s="1"/>
  <c r="C30" i="2"/>
  <c r="K30" i="2"/>
  <c r="B31" i="2"/>
  <c r="G31" i="2" s="1"/>
  <c r="L30" i="2"/>
  <c r="E29" i="2"/>
  <c r="H29" i="2"/>
  <c r="J28" i="2"/>
  <c r="O28" i="2" s="1"/>
  <c r="I30" i="2"/>
  <c r="E30" i="2"/>
  <c r="F30" i="2"/>
  <c r="H32" i="1"/>
  <c r="M32" i="1" s="1"/>
  <c r="E33" i="1"/>
  <c r="M30" i="2" l="1"/>
  <c r="N30" i="2" s="1"/>
  <c r="C31" i="2"/>
  <c r="B32" i="2"/>
  <c r="G32" i="2" s="1"/>
  <c r="L31" i="2"/>
  <c r="K31" i="2"/>
  <c r="J29" i="2"/>
  <c r="O29" i="2" s="1"/>
  <c r="F31" i="2"/>
  <c r="D31" i="2"/>
  <c r="H31" i="2" s="1"/>
  <c r="J30" i="2"/>
  <c r="H33" i="1"/>
  <c r="M33" i="1" s="1"/>
  <c r="E34" i="1"/>
  <c r="M31" i="2" l="1"/>
  <c r="N31" i="2" s="1"/>
  <c r="C32" i="2"/>
  <c r="F32" i="2"/>
  <c r="L32" i="2"/>
  <c r="K32" i="2"/>
  <c r="B33" i="2"/>
  <c r="G33" i="2" s="1"/>
  <c r="O30" i="2"/>
  <c r="D32" i="2"/>
  <c r="I32" i="2" s="1"/>
  <c r="E31" i="2"/>
  <c r="I31" i="2"/>
  <c r="H34" i="1"/>
  <c r="M34" i="1" s="1"/>
  <c r="E35" i="1"/>
  <c r="C33" i="2" l="1"/>
  <c r="M32" i="2"/>
  <c r="N32" i="2" s="1"/>
  <c r="K33" i="2"/>
  <c r="L33" i="2"/>
  <c r="B34" i="2"/>
  <c r="D33" i="2"/>
  <c r="E33" i="2" s="1"/>
  <c r="H32" i="2"/>
  <c r="E32" i="2"/>
  <c r="F33" i="2"/>
  <c r="J31" i="2"/>
  <c r="O31" i="2" s="1"/>
  <c r="H35" i="1"/>
  <c r="M35" i="1" s="1"/>
  <c r="E36" i="1"/>
  <c r="C34" i="2" l="1"/>
  <c r="G34" i="2"/>
  <c r="H33" i="2"/>
  <c r="I33" i="2"/>
  <c r="M33" i="2"/>
  <c r="N33" i="2" s="1"/>
  <c r="B35" i="2"/>
  <c r="L34" i="2"/>
  <c r="K34" i="2"/>
  <c r="J32" i="2"/>
  <c r="O32" i="2" s="1"/>
  <c r="F34" i="2"/>
  <c r="D34" i="2"/>
  <c r="I34" i="2" s="1"/>
  <c r="H36" i="1"/>
  <c r="M36" i="1" s="1"/>
  <c r="E37" i="1"/>
  <c r="C35" i="2" l="1"/>
  <c r="G35" i="2"/>
  <c r="J33" i="2"/>
  <c r="O33" i="2" s="1"/>
  <c r="K35" i="2"/>
  <c r="F35" i="2"/>
  <c r="L35" i="2"/>
  <c r="M34" i="2"/>
  <c r="N34" i="2" s="1"/>
  <c r="B36" i="2"/>
  <c r="E34" i="2"/>
  <c r="H34" i="2"/>
  <c r="D35" i="2"/>
  <c r="H37" i="1"/>
  <c r="M37" i="1" s="1"/>
  <c r="M40" i="1" s="1"/>
  <c r="C36" i="2" l="1"/>
  <c r="G36" i="2"/>
  <c r="M35" i="2"/>
  <c r="N35" i="2" s="1"/>
  <c r="B37" i="2"/>
  <c r="K36" i="2"/>
  <c r="D36" i="2"/>
  <c r="I36" i="2" s="1"/>
  <c r="L36" i="2"/>
  <c r="J34" i="2"/>
  <c r="O34" i="2" s="1"/>
  <c r="F36" i="2"/>
  <c r="I35" i="2"/>
  <c r="E35" i="2"/>
  <c r="H35" i="2"/>
  <c r="C37" i="2" l="1"/>
  <c r="G37" i="2"/>
  <c r="M36" i="2"/>
  <c r="N36" i="2" s="1"/>
  <c r="L37" i="2"/>
  <c r="E36" i="2"/>
  <c r="H36" i="2"/>
  <c r="K37" i="2"/>
  <c r="B38" i="2"/>
  <c r="F37" i="2"/>
  <c r="D37" i="2"/>
  <c r="I37" i="2" s="1"/>
  <c r="J35" i="2"/>
  <c r="O35" i="2" s="1"/>
  <c r="J36" i="2" l="1"/>
  <c r="O36" i="2" s="1"/>
  <c r="C38" i="2"/>
  <c r="G38" i="2"/>
  <c r="M37" i="2"/>
  <c r="N37" i="2" s="1"/>
  <c r="B39" i="2"/>
  <c r="L38" i="2"/>
  <c r="K38" i="2"/>
  <c r="E37" i="2"/>
  <c r="H37" i="2"/>
  <c r="F38" i="2"/>
  <c r="D38" i="2"/>
  <c r="E38" i="2" s="1"/>
  <c r="C39" i="2" l="1"/>
  <c r="G39" i="2"/>
  <c r="K39" i="2"/>
  <c r="M38" i="2"/>
  <c r="N38" i="2" s="1"/>
  <c r="L39" i="2"/>
  <c r="B40" i="2"/>
  <c r="J37" i="2"/>
  <c r="O37" i="2" s="1"/>
  <c r="H38" i="2"/>
  <c r="I38" i="2"/>
  <c r="F39" i="2"/>
  <c r="D39" i="2"/>
  <c r="I39" i="2" s="1"/>
  <c r="C40" i="2" l="1"/>
  <c r="G40" i="2"/>
  <c r="M39" i="2"/>
  <c r="N39" i="2" s="1"/>
  <c r="B41" i="2"/>
  <c r="F40" i="2"/>
  <c r="K40" i="2"/>
  <c r="L40" i="2"/>
  <c r="J38" i="2"/>
  <c r="O38" i="2" s="1"/>
  <c r="H39" i="2"/>
  <c r="E39" i="2"/>
  <c r="D40" i="2"/>
  <c r="C41" i="2" l="1"/>
  <c r="G41" i="2"/>
  <c r="K41" i="2"/>
  <c r="L41" i="2"/>
  <c r="M40" i="2"/>
  <c r="N40" i="2" s="1"/>
  <c r="B42" i="2"/>
  <c r="H40" i="2"/>
  <c r="I40" i="2"/>
  <c r="J39" i="2"/>
  <c r="O39" i="2" s="1"/>
  <c r="E40" i="2"/>
  <c r="F41" i="2"/>
  <c r="D41" i="2"/>
  <c r="C42" i="2" l="1"/>
  <c r="G42" i="2"/>
  <c r="M41" i="2"/>
  <c r="B43" i="2"/>
  <c r="L42" i="2"/>
  <c r="K42" i="2"/>
  <c r="J40" i="2"/>
  <c r="O40" i="2" s="1"/>
  <c r="H41" i="2"/>
  <c r="I41" i="2"/>
  <c r="E41" i="2"/>
  <c r="D42" i="2"/>
  <c r="E42" i="2" s="1"/>
  <c r="F42" i="2"/>
  <c r="C43" i="2" l="1"/>
  <c r="G43" i="2"/>
  <c r="M42" i="2"/>
  <c r="N42" i="2" s="1"/>
  <c r="B44" i="2"/>
  <c r="K43" i="2"/>
  <c r="L43" i="2"/>
  <c r="J41" i="2"/>
  <c r="H42" i="2"/>
  <c r="I42" i="2"/>
  <c r="N41" i="2"/>
  <c r="F43" i="2"/>
  <c r="D43" i="2"/>
  <c r="I43" i="2" s="1"/>
  <c r="C44" i="2" l="1"/>
  <c r="G44" i="2"/>
  <c r="O41" i="2"/>
  <c r="M43" i="2"/>
  <c r="B45" i="2"/>
  <c r="L44" i="2"/>
  <c r="K44" i="2"/>
  <c r="E43" i="2"/>
  <c r="H43" i="2"/>
  <c r="J42" i="2"/>
  <c r="F44" i="2"/>
  <c r="D44" i="2"/>
  <c r="I44" i="2" s="1"/>
  <c r="O42" i="2" l="1"/>
  <c r="C45" i="2"/>
  <c r="G45" i="2"/>
  <c r="M44" i="2"/>
  <c r="N44" i="2" s="1"/>
  <c r="J43" i="2"/>
  <c r="B46" i="2"/>
  <c r="L45" i="2"/>
  <c r="K45" i="2"/>
  <c r="H44" i="2"/>
  <c r="N43" i="2"/>
  <c r="E44" i="2"/>
  <c r="F45" i="2"/>
  <c r="D45" i="2"/>
  <c r="H45" i="2" s="1"/>
  <c r="O43" i="2" l="1"/>
  <c r="C46" i="2"/>
  <c r="G46" i="2"/>
  <c r="M45" i="2"/>
  <c r="N45" i="2" s="1"/>
  <c r="B47" i="2"/>
  <c r="L46" i="2"/>
  <c r="K46" i="2"/>
  <c r="J44" i="2"/>
  <c r="I45" i="2"/>
  <c r="E45" i="2"/>
  <c r="F46" i="2"/>
  <c r="D46" i="2"/>
  <c r="H46" i="2" s="1"/>
  <c r="O44" i="2" l="1"/>
  <c r="C47" i="2"/>
  <c r="G47" i="2"/>
  <c r="M46" i="2"/>
  <c r="N46" i="2" s="1"/>
  <c r="J45" i="2"/>
  <c r="O45" i="2" s="1"/>
  <c r="B48" i="2"/>
  <c r="K47" i="2"/>
  <c r="L47" i="2"/>
  <c r="M47" i="2" s="1"/>
  <c r="I46" i="2"/>
  <c r="E46" i="2"/>
  <c r="D47" i="2"/>
  <c r="F47" i="2"/>
  <c r="C48" i="2" l="1"/>
  <c r="G48" i="2"/>
  <c r="B49" i="2"/>
  <c r="L48" i="2"/>
  <c r="K48" i="2"/>
  <c r="J46" i="2"/>
  <c r="O46" i="2" s="1"/>
  <c r="N47" i="2"/>
  <c r="I47" i="2"/>
  <c r="E47" i="2"/>
  <c r="H47" i="2"/>
  <c r="F48" i="2"/>
  <c r="D48" i="2"/>
  <c r="H48" i="2" s="1"/>
  <c r="M48" i="2" l="1"/>
  <c r="N48" i="2" s="1"/>
  <c r="C49" i="2"/>
  <c r="G49" i="2"/>
  <c r="B50" i="2"/>
  <c r="K49" i="2"/>
  <c r="L49" i="2"/>
  <c r="I48" i="2"/>
  <c r="E48" i="2"/>
  <c r="J47" i="2"/>
  <c r="O47" i="2" s="1"/>
  <c r="F49" i="2"/>
  <c r="D49" i="2"/>
  <c r="M49" i="2" l="1"/>
  <c r="C50" i="2"/>
  <c r="G50" i="2"/>
  <c r="B51" i="2"/>
  <c r="K50" i="2"/>
  <c r="L50" i="2"/>
  <c r="J48" i="2"/>
  <c r="O48" i="2" s="1"/>
  <c r="I49" i="2"/>
  <c r="E49" i="2"/>
  <c r="H49" i="2"/>
  <c r="N49" i="2"/>
  <c r="D50" i="2"/>
  <c r="I50" i="2" s="1"/>
  <c r="F50" i="2"/>
  <c r="M50" i="2" l="1"/>
  <c r="N50" i="2" s="1"/>
  <c r="C51" i="2"/>
  <c r="G51" i="2"/>
  <c r="B52" i="2"/>
  <c r="K51" i="2"/>
  <c r="L51" i="2"/>
  <c r="J49" i="2"/>
  <c r="O49" i="2" s="1"/>
  <c r="E50" i="2"/>
  <c r="H50" i="2"/>
  <c r="F51" i="2"/>
  <c r="D51" i="2"/>
  <c r="I51" i="2" s="1"/>
  <c r="M51" i="2" l="1"/>
  <c r="N51" i="2" s="1"/>
  <c r="C52" i="2"/>
  <c r="G52" i="2"/>
  <c r="L52" i="2"/>
  <c r="L53" i="2" s="1"/>
  <c r="K52" i="2"/>
  <c r="J50" i="2"/>
  <c r="O50" i="2" s="1"/>
  <c r="H51" i="2"/>
  <c r="E51" i="2"/>
  <c r="F52" i="2"/>
  <c r="F53" i="2" s="1"/>
  <c r="D52" i="2"/>
  <c r="D53" i="2" s="1"/>
  <c r="O56" i="2" s="1"/>
  <c r="M52" i="2" l="1"/>
  <c r="K53" i="2"/>
  <c r="E52" i="2"/>
  <c r="E53" i="2" s="1"/>
  <c r="J51" i="2"/>
  <c r="O51" i="2" s="1"/>
  <c r="I52" i="2"/>
  <c r="I53" i="2" s="1"/>
  <c r="G53" i="2"/>
  <c r="H52" i="2"/>
  <c r="H53" i="2" s="1"/>
  <c r="M53" i="2" l="1"/>
  <c r="N52" i="2"/>
  <c r="J52" i="2"/>
  <c r="J53" i="2" s="1"/>
  <c r="N53" i="2" l="1"/>
  <c r="O5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Gilton Nascimento</author>
  </authors>
  <commentList>
    <comment ref="H7" authorId="0" shapeId="0" xr:uid="{00000000-0006-0000-0100-000001000000}">
      <text>
        <r>
          <rPr>
            <sz val="9"/>
            <color indexed="81"/>
            <rFont val="Segoe UI"/>
            <family val="2"/>
          </rPr>
          <t xml:space="preserve">Caso queira calcular utilizando o FGTS escolha 8%
</t>
        </r>
      </text>
    </comment>
    <comment ref="I7" authorId="0" shapeId="0" xr:uid="{00000000-0006-0000-0100-000002000000}">
      <text>
        <r>
          <rPr>
            <b/>
            <sz val="9"/>
            <color indexed="81"/>
            <rFont val="Segoe UI"/>
            <family val="2"/>
          </rPr>
          <t>Defina um percentual para contribuir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<sst xmlns="http://schemas.openxmlformats.org/spreadsheetml/2006/main" count="67" uniqueCount="54">
  <si>
    <t>ANO</t>
  </si>
  <si>
    <t>% contribuição Empresa</t>
  </si>
  <si>
    <t>% contribuição Funcionário</t>
  </si>
  <si>
    <t>total recolhido</t>
  </si>
  <si>
    <t>SEQUÊNCIA</t>
  </si>
  <si>
    <t>SALÁRIO</t>
  </si>
  <si>
    <t>SELIC ANO</t>
  </si>
  <si>
    <t>IPCA ANO</t>
  </si>
  <si>
    <t>JUROS REAL ANO</t>
  </si>
  <si>
    <t>TAXA REAL AO MÊS</t>
  </si>
  <si>
    <t>VALOR CORRIGIDO POR ANO</t>
  </si>
  <si>
    <t>LIMIDE DE CONTRIBUIÇÃO PF</t>
  </si>
  <si>
    <t>TOTAIS</t>
  </si>
  <si>
    <t>EFETIVO</t>
  </si>
  <si>
    <t>Idade na aposentadoria</t>
  </si>
  <si>
    <t>Sobrevida</t>
  </si>
  <si>
    <t>ESTIMADO</t>
  </si>
  <si>
    <t>Tempo de aposentadoria</t>
  </si>
  <si>
    <t>Salário estimado para aposentadoria</t>
  </si>
  <si>
    <t>SALÁRIO MENSAL</t>
  </si>
  <si>
    <t>POUPANÇA ACUMULADA</t>
  </si>
  <si>
    <t>TOTAL APLICADO</t>
  </si>
  <si>
    <t>INSS EMPRESA</t>
  </si>
  <si>
    <t>INSS FUNCIONÁRIO</t>
  </si>
  <si>
    <t>FGTS EMPRESA</t>
  </si>
  <si>
    <t>ANOS TRABALHADOS</t>
  </si>
  <si>
    <t>DATA DE NASCIMENTO/IDADE</t>
  </si>
  <si>
    <t>Tempo de utilização</t>
  </si>
  <si>
    <t>LIMIDE DE CONTRIBUIÇÃO  PF</t>
  </si>
  <si>
    <t>Percentual do salário médio da ativa</t>
  </si>
  <si>
    <t>APLICAÇÃO FINANCEIRA DO FUNCIONÁRIO</t>
  </si>
  <si>
    <t>Taxa de juros real ao ano durante o período de capitalização</t>
  </si>
  <si>
    <t>Taxa de juros real ao ano durante o período de utilização</t>
  </si>
  <si>
    <t>Salário estimado na aposentadoria</t>
  </si>
  <si>
    <t>JUROS ANO</t>
  </si>
  <si>
    <t>INFLAÇÃO ANO</t>
  </si>
  <si>
    <t>Alíquota</t>
  </si>
  <si>
    <t>DE</t>
  </si>
  <si>
    <t>ATÉ</t>
  </si>
  <si>
    <t>CONTRIBUIÇÃO MENSAL NORMAL</t>
  </si>
  <si>
    <t>Tabela para Empregado, Empregado Doméstico e Trabalhador Avulso a partir de 17 janeiro de 2.022.</t>
  </si>
  <si>
    <t>TOTAL DE RENDIMENTOS SALÁRIO</t>
  </si>
  <si>
    <t>Valor por faixa</t>
  </si>
  <si>
    <t>Retenção do colaborador</t>
  </si>
  <si>
    <t>Parcela da empresa</t>
  </si>
  <si>
    <t>RECOLHIMENTO TOTAL PARA INSS</t>
  </si>
  <si>
    <t>CONTRIBUIÇÃO CONTRATO SUSPENSO</t>
  </si>
  <si>
    <t xml:space="preserve">Código para recolhimento – Facultativo = </t>
  </si>
  <si>
    <t>Total de rendimento de salário</t>
  </si>
  <si>
    <t>Dias pagos pelo Honda</t>
  </si>
  <si>
    <t>Base de cálculo para colaborador</t>
  </si>
  <si>
    <t>Recolhimento colaborador</t>
  </si>
  <si>
    <t>GENERO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</si>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</sst>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&quot;R$&quot;#,##0.00;[Red]\-&quot;R$&quot;#,##0.00"/>
    <numFmt numFmtId="165" formatCode="_-&quot;R$&quot;* #,##0.00_-;\-&quot;R$&quot;* #,##0.00_-;_-&quot;R$&quot;* &quot;-&quot;??_-;_-@_-"/>
    <numFmt numFmtId="166" formatCode="[$-416]dd\-mmm\-yy;@"/>
    <numFmt numFmtId="167" formatCode=";;"/>
    <numFmt numFmtId="168" formatCode="yyyy"/>
    <numFmt numFmtId="169" formatCode="_-[$R$-416]* #,##0.00_-;\-[$R$-416]* #,##0.00_-;_-[$R$-416]* &quot;-&quot;??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theme="0"/>
      <name val="Arial Black"/>
      <family val="2"/>
    </font>
    <font>
      <sz val="24"/>
      <color theme="0"/>
      <name val="Arial Black"/>
      <family val="2"/>
    </font>
    <font>
      <sz val="11"/>
      <color theme="0"/>
      <name val="Calibri"/>
      <family val="2"/>
      <scheme val="minor"/>
    </font>
    <font>
      <b/>
      <sz val="10"/>
      <color theme="0"/>
      <name val="Arial Black"/>
      <family val="2"/>
    </font>
    <font>
      <i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24"/>
      <color theme="0"/>
      <name val="Arial Black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b/>
      <sz val="14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/>
        <bgColor indexed="64"/>
      </patternFill>
    </fill>
  </fills>
  <borders count="6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/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medium">
        <color indexed="64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/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/>
      <bottom style="hair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 style="medium">
        <color theme="0" tint="-0.499984740745262"/>
      </right>
      <top/>
      <bottom style="medium">
        <color theme="0"/>
      </bottom>
      <diagonal/>
    </border>
    <border>
      <left style="medium">
        <color indexed="64"/>
      </left>
      <right style="medium">
        <color theme="0" tint="-0.499984740745262"/>
      </right>
      <top style="medium">
        <color theme="0"/>
      </top>
      <bottom style="medium">
        <color theme="0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hair">
        <color theme="0" tint="-0.499984740745262"/>
      </left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theme="0" tint="-0.499984740745262"/>
      </right>
      <top/>
      <bottom style="hair">
        <color theme="0" tint="-0.499984740745262"/>
      </bottom>
      <diagonal/>
    </border>
    <border>
      <left style="medium">
        <color rgb="FFC1C3D1"/>
      </left>
      <right/>
      <top style="medium">
        <color rgb="FFC1C3D1"/>
      </top>
      <bottom style="medium">
        <color rgb="FFC1C3D1"/>
      </bottom>
      <diagonal/>
    </border>
    <border>
      <left/>
      <right/>
      <top style="medium">
        <color rgb="FFC1C3D1"/>
      </top>
      <bottom style="medium">
        <color rgb="FFC1C3D1"/>
      </bottom>
      <diagonal/>
    </border>
    <border>
      <left/>
      <right style="medium">
        <color rgb="FFC1C3D1"/>
      </right>
      <top style="medium">
        <color rgb="FFC1C3D1"/>
      </top>
      <bottom style="medium">
        <color rgb="FFC1C3D1"/>
      </bottom>
      <diagonal/>
    </border>
    <border>
      <left style="medium">
        <color rgb="FFC1C3D1"/>
      </left>
      <right/>
      <top/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rgb="FFC1C3D1"/>
      </right>
      <top/>
      <bottom style="hair">
        <color theme="0" tint="-0.499984740745262"/>
      </bottom>
      <diagonal/>
    </border>
    <border>
      <left style="medium">
        <color rgb="FFC1C3D1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rgb="FFC1C3D1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rgb="FFC1C3D1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">
        <color rgb="FFC1C3D1"/>
      </left>
      <right/>
      <top style="hair">
        <color theme="0" tint="-0.499984740745262"/>
      </top>
      <bottom/>
      <diagonal/>
    </border>
    <border>
      <left/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medium">
        <color rgb="FFC1C3D1"/>
      </right>
      <top style="hair">
        <color theme="0" tint="-0.499984740745262"/>
      </top>
      <bottom/>
      <diagonal/>
    </border>
    <border>
      <left style="medium">
        <color rgb="FFC1C3D1"/>
      </left>
      <right/>
      <top style="hair">
        <color theme="0" tint="-0.499984740745262"/>
      </top>
      <bottom style="medium">
        <color rgb="FFC1C3D1"/>
      </bottom>
      <diagonal/>
    </border>
    <border>
      <left/>
      <right/>
      <top style="hair">
        <color theme="0" tint="-0.499984740745262"/>
      </top>
      <bottom style="medium">
        <color rgb="FFC1C3D1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medium">
        <color rgb="FFC1C3D1"/>
      </bottom>
      <diagonal/>
    </border>
    <border>
      <left style="hair">
        <color theme="0" tint="-0.499984740745262"/>
      </left>
      <right style="medium">
        <color rgb="FFC1C3D1"/>
      </right>
      <top style="hair">
        <color theme="0" tint="-0.499984740745262"/>
      </top>
      <bottom style="medium">
        <color rgb="FFC1C3D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8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vertical="center" wrapText="1"/>
    </xf>
    <xf numFmtId="165" fontId="0" fillId="0" borderId="1" xfId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10" fontId="0" fillId="0" borderId="1" xfId="2" applyNumberFormat="1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 wrapText="1"/>
    </xf>
    <xf numFmtId="165" fontId="0" fillId="4" borderId="1" xfId="1" applyFont="1" applyFill="1" applyBorder="1" applyAlignment="1">
      <alignment horizontal="center" vertical="center" wrapText="1"/>
    </xf>
    <xf numFmtId="10" fontId="0" fillId="4" borderId="1" xfId="2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165" fontId="0" fillId="4" borderId="3" xfId="1" applyFont="1" applyFill="1" applyBorder="1" applyAlignment="1">
      <alignment horizontal="center" vertical="center" wrapText="1"/>
    </xf>
    <xf numFmtId="165" fontId="0" fillId="4" borderId="3" xfId="0" applyNumberFormat="1" applyFill="1" applyBorder="1" applyAlignment="1">
      <alignment horizontal="center" vertical="center" wrapText="1"/>
    </xf>
    <xf numFmtId="10" fontId="0" fillId="4" borderId="3" xfId="2" applyNumberFormat="1" applyFont="1" applyFill="1" applyBorder="1" applyAlignment="1">
      <alignment horizontal="center" vertical="center" wrapText="1"/>
    </xf>
    <xf numFmtId="164" fontId="0" fillId="4" borderId="4" xfId="0" applyNumberFormat="1" applyFill="1" applyBorder="1"/>
    <xf numFmtId="164" fontId="0" fillId="4" borderId="6" xfId="0" applyNumberFormat="1" applyFill="1" applyBorder="1"/>
    <xf numFmtId="0" fontId="0" fillId="4" borderId="8" xfId="0" applyFill="1" applyBorder="1" applyAlignment="1">
      <alignment horizontal="center" vertical="center" wrapText="1"/>
    </xf>
    <xf numFmtId="165" fontId="0" fillId="4" borderId="8" xfId="1" applyFont="1" applyFill="1" applyBorder="1" applyAlignment="1">
      <alignment horizontal="center" vertical="center" wrapText="1"/>
    </xf>
    <xf numFmtId="165" fontId="0" fillId="4" borderId="8" xfId="0" applyNumberFormat="1" applyFill="1" applyBorder="1" applyAlignment="1">
      <alignment horizontal="center" vertical="center" wrapText="1"/>
    </xf>
    <xf numFmtId="10" fontId="0" fillId="4" borderId="8" xfId="2" applyNumberFormat="1" applyFont="1" applyFill="1" applyBorder="1" applyAlignment="1">
      <alignment horizontal="center" vertical="center" wrapText="1"/>
    </xf>
    <xf numFmtId="164" fontId="0" fillId="4" borderId="9" xfId="0" applyNumberFormat="1" applyFill="1" applyBorder="1"/>
    <xf numFmtId="0" fontId="0" fillId="0" borderId="3" xfId="0" applyBorder="1" applyAlignment="1">
      <alignment horizontal="center" vertical="center" wrapText="1"/>
    </xf>
    <xf numFmtId="165" fontId="0" fillId="0" borderId="3" xfId="1" applyFon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0" fontId="0" fillId="0" borderId="3" xfId="2" applyNumberFormat="1" applyFont="1" applyBorder="1" applyAlignment="1">
      <alignment horizontal="center" vertical="center" wrapText="1"/>
    </xf>
    <xf numFmtId="164" fontId="0" fillId="0" borderId="4" xfId="0" applyNumberFormat="1" applyBorder="1"/>
    <xf numFmtId="164" fontId="0" fillId="0" borderId="6" xfId="0" applyNumberFormat="1" applyBorder="1"/>
    <xf numFmtId="0" fontId="0" fillId="0" borderId="8" xfId="0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5" fontId="0" fillId="0" borderId="8" xfId="1" applyFont="1" applyBorder="1" applyAlignment="1">
      <alignment horizontal="center" vertical="center" wrapText="1"/>
    </xf>
    <xf numFmtId="10" fontId="0" fillId="0" borderId="8" xfId="2" applyNumberFormat="1" applyFont="1" applyBorder="1" applyAlignment="1">
      <alignment horizontal="center" vertical="center" wrapText="1"/>
    </xf>
    <xf numFmtId="164" fontId="0" fillId="0" borderId="9" xfId="0" applyNumberFormat="1" applyBorder="1"/>
    <xf numFmtId="10" fontId="2" fillId="3" borderId="13" xfId="2" applyNumberFormat="1" applyFont="1" applyFill="1" applyBorder="1" applyAlignment="1">
      <alignment horizontal="center" vertical="center" wrapText="1"/>
    </xf>
    <xf numFmtId="164" fontId="2" fillId="3" borderId="14" xfId="0" applyNumberFormat="1" applyFont="1" applyFill="1" applyBorder="1"/>
    <xf numFmtId="0" fontId="2" fillId="3" borderId="3" xfId="0" applyFont="1" applyFill="1" applyBorder="1" applyAlignment="1">
      <alignment horizontal="center" vertical="center" wrapText="1"/>
    </xf>
    <xf numFmtId="9" fontId="2" fillId="3" borderId="8" xfId="0" applyNumberFormat="1" applyFont="1" applyFill="1" applyBorder="1" applyAlignment="1">
      <alignment horizontal="center" vertical="center" wrapText="1"/>
    </xf>
    <xf numFmtId="164" fontId="5" fillId="5" borderId="19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Protection="1">
      <protection hidden="1"/>
    </xf>
    <xf numFmtId="0" fontId="0" fillId="7" borderId="24" xfId="0" applyFill="1" applyBorder="1" applyAlignment="1" applyProtection="1">
      <alignment horizontal="center" vertical="center" wrapText="1"/>
      <protection hidden="1"/>
    </xf>
    <xf numFmtId="168" fontId="0" fillId="6" borderId="21" xfId="0" applyNumberFormat="1" applyFill="1" applyBorder="1" applyAlignment="1" applyProtection="1">
      <alignment horizontal="center" vertical="center" wrapText="1"/>
      <protection hidden="1"/>
    </xf>
    <xf numFmtId="165" fontId="0" fillId="6" borderId="20" xfId="1" applyFont="1" applyFill="1" applyBorder="1" applyAlignment="1" applyProtection="1">
      <alignment horizontal="center" vertical="center" wrapText="1"/>
      <protection hidden="1"/>
    </xf>
    <xf numFmtId="165" fontId="0" fillId="6" borderId="20" xfId="0" applyNumberFormat="1" applyFill="1" applyBorder="1" applyAlignment="1" applyProtection="1">
      <alignment horizontal="center" vertical="center" wrapText="1"/>
      <protection hidden="1"/>
    </xf>
    <xf numFmtId="10" fontId="0" fillId="6" borderId="20" xfId="2" applyNumberFormat="1" applyFont="1" applyFill="1" applyBorder="1" applyAlignment="1" applyProtection="1">
      <alignment horizontal="center" vertical="center" wrapText="1"/>
      <protection hidden="1"/>
    </xf>
    <xf numFmtId="164" fontId="0" fillId="6" borderId="22" xfId="0" applyNumberFormat="1" applyFill="1" applyBorder="1" applyAlignment="1" applyProtection="1">
      <alignment horizontal="center" vertical="center"/>
      <protection hidden="1"/>
    </xf>
    <xf numFmtId="0" fontId="0" fillId="7" borderId="25" xfId="0" applyFill="1" applyBorder="1" applyAlignment="1" applyProtection="1">
      <alignment horizontal="center" vertical="center" wrapText="1"/>
      <protection hidden="1"/>
    </xf>
    <xf numFmtId="165" fontId="0" fillId="6" borderId="1" xfId="1" applyFont="1" applyFill="1" applyBorder="1" applyAlignment="1" applyProtection="1">
      <alignment horizontal="center" vertical="center" wrapText="1"/>
      <protection hidden="1"/>
    </xf>
    <xf numFmtId="165" fontId="0" fillId="6" borderId="1" xfId="0" applyNumberFormat="1" applyFill="1" applyBorder="1" applyAlignment="1" applyProtection="1">
      <alignment horizontal="center" vertical="center" wrapText="1"/>
      <protection hidden="1"/>
    </xf>
    <xf numFmtId="10" fontId="0" fillId="6" borderId="1" xfId="2" applyNumberFormat="1" applyFont="1" applyFill="1" applyBorder="1" applyAlignment="1" applyProtection="1">
      <alignment horizontal="center" vertical="center" wrapText="1"/>
      <protection hidden="1"/>
    </xf>
    <xf numFmtId="164" fontId="0" fillId="6" borderId="6" xfId="0" applyNumberFormat="1" applyFill="1" applyBorder="1" applyAlignment="1" applyProtection="1">
      <alignment horizontal="center" vertical="center"/>
      <protection hidden="1"/>
    </xf>
    <xf numFmtId="165" fontId="6" fillId="3" borderId="13" xfId="1" applyFont="1" applyFill="1" applyBorder="1" applyAlignment="1" applyProtection="1">
      <alignment vertical="center" wrapText="1"/>
      <protection hidden="1"/>
    </xf>
    <xf numFmtId="10" fontId="6" fillId="3" borderId="13" xfId="2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/>
      <protection hidden="1"/>
    </xf>
    <xf numFmtId="165" fontId="0" fillId="0" borderId="0" xfId="1" applyFont="1" applyProtection="1">
      <protection hidden="1"/>
    </xf>
    <xf numFmtId="164" fontId="0" fillId="0" borderId="0" xfId="0" applyNumberFormat="1" applyProtection="1">
      <protection hidden="1"/>
    </xf>
    <xf numFmtId="43" fontId="0" fillId="0" borderId="0" xfId="3" applyFont="1" applyProtection="1">
      <protection hidden="1"/>
    </xf>
    <xf numFmtId="168" fontId="2" fillId="8" borderId="21" xfId="0" applyNumberFormat="1" applyFont="1" applyFill="1" applyBorder="1" applyAlignment="1" applyProtection="1">
      <alignment horizontal="center" vertical="center" wrapText="1"/>
      <protection locked="0"/>
    </xf>
    <xf numFmtId="165" fontId="2" fillId="8" borderId="20" xfId="1" applyFont="1" applyFill="1" applyBorder="1" applyAlignment="1" applyProtection="1">
      <alignment horizontal="center" vertical="center" wrapText="1"/>
      <protection locked="0"/>
    </xf>
    <xf numFmtId="10" fontId="2" fillId="8" borderId="20" xfId="2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1" applyNumberFormat="1" applyFont="1" applyProtection="1">
      <protection hidden="1"/>
    </xf>
    <xf numFmtId="0" fontId="0" fillId="0" borderId="0" xfId="0" applyAlignment="1" applyProtection="1">
      <alignment vertical="center"/>
      <protection hidden="1"/>
    </xf>
    <xf numFmtId="10" fontId="12" fillId="8" borderId="8" xfId="0" applyNumberFormat="1" applyFont="1" applyFill="1" applyBorder="1" applyAlignment="1" applyProtection="1">
      <alignment horizontal="right" vertical="center" wrapText="1"/>
      <protection locked="0"/>
    </xf>
    <xf numFmtId="164" fontId="14" fillId="6" borderId="26" xfId="0" applyNumberFormat="1" applyFont="1" applyFill="1" applyBorder="1" applyAlignment="1" applyProtection="1">
      <alignment horizontal="right" vertical="center"/>
      <protection hidden="1"/>
    </xf>
    <xf numFmtId="10" fontId="14" fillId="6" borderId="26" xfId="2" applyNumberFormat="1" applyFont="1" applyFill="1" applyBorder="1" applyAlignment="1" applyProtection="1">
      <alignment horizontal="right" vertical="center"/>
      <protection hidden="1"/>
    </xf>
    <xf numFmtId="1" fontId="14" fillId="6" borderId="26" xfId="0" applyNumberFormat="1" applyFont="1" applyFill="1" applyBorder="1" applyAlignment="1" applyProtection="1">
      <alignment horizontal="right" vertical="center"/>
      <protection hidden="1"/>
    </xf>
    <xf numFmtId="0" fontId="14" fillId="6" borderId="26" xfId="0" applyFont="1" applyFill="1" applyBorder="1" applyAlignment="1" applyProtection="1">
      <alignment horizontal="right" vertical="center"/>
      <protection hidden="1"/>
    </xf>
    <xf numFmtId="0" fontId="13" fillId="3" borderId="27" xfId="0" applyFont="1" applyFill="1" applyBorder="1" applyAlignment="1" applyProtection="1">
      <alignment vertical="center"/>
      <protection hidden="1"/>
    </xf>
    <xf numFmtId="0" fontId="11" fillId="3" borderId="28" xfId="0" applyFont="1" applyFill="1" applyBorder="1" applyAlignment="1" applyProtection="1">
      <alignment vertical="center"/>
      <protection hidden="1"/>
    </xf>
    <xf numFmtId="0" fontId="11" fillId="3" borderId="26" xfId="0" applyFont="1" applyFill="1" applyBorder="1" applyAlignment="1" applyProtection="1">
      <alignment vertical="center"/>
      <protection hidden="1"/>
    </xf>
    <xf numFmtId="0" fontId="0" fillId="2" borderId="29" xfId="0" applyFill="1" applyBorder="1" applyProtection="1">
      <protection hidden="1"/>
    </xf>
    <xf numFmtId="0" fontId="0" fillId="2" borderId="30" xfId="0" applyFill="1" applyBorder="1" applyProtection="1">
      <protection hidden="1"/>
    </xf>
    <xf numFmtId="0" fontId="0" fillId="2" borderId="31" xfId="0" applyFill="1" applyBorder="1" applyProtection="1">
      <protection hidden="1"/>
    </xf>
    <xf numFmtId="0" fontId="0" fillId="2" borderId="32" xfId="0" applyFill="1" applyBorder="1" applyProtection="1">
      <protection hidden="1"/>
    </xf>
    <xf numFmtId="0" fontId="0" fillId="2" borderId="0" xfId="0" applyFill="1" applyProtection="1">
      <protection hidden="1"/>
    </xf>
    <xf numFmtId="0" fontId="0" fillId="2" borderId="33" xfId="0" applyFill="1" applyBorder="1" applyProtection="1">
      <protection hidden="1"/>
    </xf>
    <xf numFmtId="167" fontId="0" fillId="2" borderId="0" xfId="0" applyNumberFormat="1" applyFill="1" applyAlignment="1" applyProtection="1">
      <alignment horizontal="center" vertical="center"/>
      <protection hidden="1"/>
    </xf>
    <xf numFmtId="0" fontId="0" fillId="2" borderId="34" xfId="0" applyFill="1" applyBorder="1" applyProtection="1">
      <protection hidden="1"/>
    </xf>
    <xf numFmtId="0" fontId="0" fillId="2" borderId="35" xfId="0" applyFill="1" applyBorder="1" applyProtection="1">
      <protection hidden="1"/>
    </xf>
    <xf numFmtId="0" fontId="0" fillId="2" borderId="35" xfId="0" applyFill="1" applyBorder="1" applyAlignment="1" applyProtection="1">
      <alignment horizontal="center" vertical="center" wrapText="1"/>
      <protection hidden="1"/>
    </xf>
    <xf numFmtId="0" fontId="0" fillId="2" borderId="35" xfId="0" applyFill="1" applyBorder="1" applyAlignment="1" applyProtection="1">
      <alignment horizontal="center" vertical="center"/>
      <protection hidden="1"/>
    </xf>
    <xf numFmtId="0" fontId="0" fillId="2" borderId="36" xfId="0" applyFill="1" applyBorder="1" applyProtection="1">
      <protection hidden="1"/>
    </xf>
    <xf numFmtId="0" fontId="2" fillId="2" borderId="19" xfId="0" applyFont="1" applyFill="1" applyBorder="1" applyAlignment="1" applyProtection="1">
      <alignment horizontal="center" vertical="center" wrapText="1"/>
      <protection hidden="1"/>
    </xf>
    <xf numFmtId="0" fontId="8" fillId="2" borderId="19" xfId="0" applyFont="1" applyFill="1" applyBorder="1" applyAlignment="1" applyProtection="1">
      <alignment horizontal="center" vertical="center" wrapText="1"/>
      <protection hidden="1"/>
    </xf>
    <xf numFmtId="9" fontId="9" fillId="3" borderId="39" xfId="0" applyNumberFormat="1" applyFont="1" applyFill="1" applyBorder="1" applyAlignment="1" applyProtection="1">
      <alignment horizontal="center" vertical="center" wrapText="1"/>
      <protection hidden="1"/>
    </xf>
    <xf numFmtId="9" fontId="9" fillId="8" borderId="39" xfId="0" applyNumberFormat="1" applyFont="1" applyFill="1" applyBorder="1" applyAlignment="1" applyProtection="1">
      <alignment horizontal="center" vertical="center" wrapText="1"/>
      <protection locked="0"/>
    </xf>
    <xf numFmtId="0" fontId="10" fillId="5" borderId="23" xfId="0" applyFont="1" applyFill="1" applyBorder="1" applyAlignment="1" applyProtection="1">
      <alignment horizontal="center" vertical="center"/>
      <protection locked="0" hidden="1"/>
    </xf>
    <xf numFmtId="0" fontId="2" fillId="3" borderId="20" xfId="0" applyFont="1" applyFill="1" applyBorder="1" applyAlignment="1" applyProtection="1">
      <alignment horizontal="center" vertical="center" wrapText="1"/>
      <protection hidden="1"/>
    </xf>
    <xf numFmtId="1" fontId="17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0" fillId="6" borderId="10" xfId="0" applyFill="1" applyBorder="1" applyProtection="1">
      <protection hidden="1"/>
    </xf>
    <xf numFmtId="0" fontId="0" fillId="6" borderId="11" xfId="0" applyFill="1" applyBorder="1" applyProtection="1">
      <protection hidden="1"/>
    </xf>
    <xf numFmtId="0" fontId="0" fillId="6" borderId="37" xfId="0" applyFill="1" applyBorder="1" applyProtection="1">
      <protection hidden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7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textRotation="90" wrapText="1"/>
    </xf>
    <xf numFmtId="0" fontId="2" fillId="3" borderId="18" xfId="0" applyFont="1" applyFill="1" applyBorder="1" applyAlignment="1">
      <alignment horizontal="center" vertical="center" textRotation="90" wrapText="1"/>
    </xf>
    <xf numFmtId="0" fontId="2" fillId="3" borderId="15" xfId="0" applyFont="1" applyFill="1" applyBorder="1" applyAlignment="1">
      <alignment horizontal="center" vertical="center" textRotation="90" wrapText="1"/>
    </xf>
    <xf numFmtId="0" fontId="2" fillId="3" borderId="17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3" borderId="8" xfId="0" applyFont="1" applyFill="1" applyBorder="1" applyAlignment="1">
      <alignment horizontal="center" vertical="center" textRotation="90" wrapText="1"/>
    </xf>
    <xf numFmtId="0" fontId="6" fillId="3" borderId="10" xfId="0" applyFont="1" applyFill="1" applyBorder="1" applyAlignment="1" applyProtection="1">
      <alignment horizontal="center" vertical="center" wrapText="1"/>
      <protection hidden="1"/>
    </xf>
    <xf numFmtId="0" fontId="6" fillId="3" borderId="12" xfId="0" applyFont="1" applyFill="1" applyBorder="1" applyAlignment="1" applyProtection="1">
      <alignment horizontal="center" vertical="center" wrapText="1"/>
      <protection hidden="1"/>
    </xf>
    <xf numFmtId="0" fontId="2" fillId="3" borderId="20" xfId="0" applyFont="1" applyFill="1" applyBorder="1" applyAlignment="1" applyProtection="1">
      <alignment horizontal="center" vertical="center" wrapText="1"/>
      <protection hidden="1"/>
    </xf>
    <xf numFmtId="0" fontId="2" fillId="3" borderId="39" xfId="0" applyFont="1" applyFill="1" applyBorder="1" applyAlignment="1" applyProtection="1">
      <alignment horizontal="center" vertical="center" wrapText="1"/>
      <protection hidden="1"/>
    </xf>
    <xf numFmtId="0" fontId="2" fillId="3" borderId="42" xfId="0" applyFont="1" applyFill="1" applyBorder="1" applyAlignment="1" applyProtection="1">
      <alignment horizontal="center" vertical="center" wrapText="1"/>
      <protection hidden="1"/>
    </xf>
    <xf numFmtId="0" fontId="2" fillId="3" borderId="40" xfId="0" applyFont="1" applyFill="1" applyBorder="1" applyAlignment="1" applyProtection="1">
      <alignment horizontal="center" vertical="center" wrapText="1"/>
      <protection hidden="1"/>
    </xf>
    <xf numFmtId="0" fontId="2" fillId="3" borderId="41" xfId="0" applyFont="1" applyFill="1" applyBorder="1" applyAlignment="1" applyProtection="1">
      <alignment horizontal="center" vertical="center" textRotation="90" wrapText="1"/>
      <protection hidden="1"/>
    </xf>
    <xf numFmtId="0" fontId="2" fillId="3" borderId="38" xfId="0" applyFont="1" applyFill="1" applyBorder="1" applyAlignment="1" applyProtection="1">
      <alignment horizontal="center" vertical="center" textRotation="90" wrapText="1"/>
      <protection hidden="1"/>
    </xf>
    <xf numFmtId="0" fontId="2" fillId="3" borderId="20" xfId="0" applyFont="1" applyFill="1" applyBorder="1" applyAlignment="1" applyProtection="1">
      <alignment horizontal="center" vertical="center" textRotation="90" wrapText="1"/>
      <protection hidden="1"/>
    </xf>
    <xf numFmtId="0" fontId="2" fillId="3" borderId="39" xfId="0" applyFont="1" applyFill="1" applyBorder="1" applyAlignment="1" applyProtection="1">
      <alignment horizontal="center" vertical="center" textRotation="90" wrapText="1"/>
      <protection hidden="1"/>
    </xf>
    <xf numFmtId="0" fontId="0" fillId="0" borderId="11" xfId="0" applyBorder="1"/>
    <xf numFmtId="166" fontId="21" fillId="10" borderId="23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Protection="1">
      <protection hidden="1"/>
    </xf>
    <xf numFmtId="0" fontId="18" fillId="5" borderId="43" xfId="0" applyFont="1" applyFill="1" applyBorder="1" applyAlignment="1" applyProtection="1">
      <alignment horizontal="center" vertical="center" wrapText="1"/>
      <protection hidden="1"/>
    </xf>
    <xf numFmtId="0" fontId="18" fillId="5" borderId="44" xfId="0" applyFont="1" applyFill="1" applyBorder="1" applyAlignment="1" applyProtection="1">
      <alignment horizontal="center" vertical="center" wrapText="1"/>
      <protection hidden="1"/>
    </xf>
    <xf numFmtId="0" fontId="18" fillId="5" borderId="45" xfId="0" applyFont="1" applyFill="1" applyBorder="1" applyAlignment="1" applyProtection="1">
      <alignment horizontal="center" vertical="center" wrapText="1"/>
      <protection hidden="1"/>
    </xf>
    <xf numFmtId="0" fontId="23" fillId="5" borderId="46" xfId="0" applyFont="1" applyFill="1" applyBorder="1" applyAlignment="1" applyProtection="1">
      <alignment horizontal="left" vertical="center" wrapText="1"/>
      <protection hidden="1"/>
    </xf>
    <xf numFmtId="0" fontId="23" fillId="5" borderId="47" xfId="0" applyFont="1" applyFill="1" applyBorder="1" applyAlignment="1" applyProtection="1">
      <alignment horizontal="left" vertical="center" wrapText="1"/>
      <protection hidden="1"/>
    </xf>
    <xf numFmtId="0" fontId="24" fillId="11" borderId="49" xfId="0" applyFont="1" applyFill="1" applyBorder="1" applyAlignment="1" applyProtection="1">
      <alignment horizontal="center" vertical="center" wrapText="1"/>
      <protection hidden="1"/>
    </xf>
    <xf numFmtId="0" fontId="24" fillId="11" borderId="1" xfId="0" applyFont="1" applyFill="1" applyBorder="1" applyAlignment="1" applyProtection="1">
      <alignment horizontal="center" vertical="center" wrapText="1"/>
      <protection hidden="1"/>
    </xf>
    <xf numFmtId="0" fontId="24" fillId="11" borderId="50" xfId="0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Protection="1">
      <protection hidden="1"/>
    </xf>
    <xf numFmtId="169" fontId="19" fillId="0" borderId="49" xfId="0" applyNumberFormat="1" applyFont="1" applyBorder="1" applyAlignment="1" applyProtection="1">
      <alignment horizontal="center" vertical="center" wrapText="1"/>
      <protection hidden="1"/>
    </xf>
    <xf numFmtId="169" fontId="19" fillId="0" borderId="1" xfId="0" applyNumberFormat="1" applyFont="1" applyBorder="1" applyAlignment="1" applyProtection="1">
      <alignment horizontal="center" vertical="center" wrapText="1"/>
      <protection hidden="1"/>
    </xf>
    <xf numFmtId="10" fontId="19" fillId="0" borderId="1" xfId="2" applyNumberFormat="1" applyFont="1" applyFill="1" applyBorder="1" applyAlignment="1" applyProtection="1">
      <alignment horizontal="center" vertical="center" wrapText="1"/>
      <protection hidden="1"/>
    </xf>
    <xf numFmtId="165" fontId="19" fillId="0" borderId="50" xfId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/>
      <protection hidden="1"/>
    </xf>
    <xf numFmtId="43" fontId="7" fillId="0" borderId="0" xfId="0" applyNumberFormat="1" applyFont="1" applyProtection="1">
      <protection hidden="1"/>
    </xf>
    <xf numFmtId="0" fontId="7" fillId="0" borderId="0" xfId="0" applyFont="1" applyAlignment="1" applyProtection="1">
      <alignment horizontal="center"/>
      <protection hidden="1"/>
    </xf>
    <xf numFmtId="43" fontId="7" fillId="0" borderId="0" xfId="3" applyFont="1" applyProtection="1">
      <protection hidden="1"/>
    </xf>
    <xf numFmtId="10" fontId="7" fillId="0" borderId="0" xfId="0" applyNumberFormat="1" applyFont="1" applyProtection="1">
      <protection hidden="1"/>
    </xf>
    <xf numFmtId="9" fontId="7" fillId="0" borderId="0" xfId="0" applyNumberFormat="1" applyFont="1" applyProtection="1">
      <protection hidden="1"/>
    </xf>
    <xf numFmtId="0" fontId="18" fillId="9" borderId="51" xfId="0" applyFont="1" applyFill="1" applyBorder="1" applyAlignment="1" applyProtection="1">
      <alignment horizontal="left" vertical="center" wrapText="1"/>
      <protection hidden="1"/>
    </xf>
    <xf numFmtId="0" fontId="18" fillId="9" borderId="28" xfId="0" applyFont="1" applyFill="1" applyBorder="1" applyAlignment="1" applyProtection="1">
      <alignment horizontal="left" vertical="center" wrapText="1"/>
      <protection hidden="1"/>
    </xf>
    <xf numFmtId="0" fontId="18" fillId="9" borderId="26" xfId="0" applyFont="1" applyFill="1" applyBorder="1" applyAlignment="1" applyProtection="1">
      <alignment horizontal="left" vertical="center" wrapText="1"/>
      <protection hidden="1"/>
    </xf>
    <xf numFmtId="165" fontId="18" fillId="9" borderId="50" xfId="0" applyNumberFormat="1" applyFont="1" applyFill="1" applyBorder="1" applyAlignment="1" applyProtection="1">
      <alignment horizontal="center" vertical="center" wrapText="1"/>
      <protection hidden="1"/>
    </xf>
    <xf numFmtId="165" fontId="0" fillId="0" borderId="0" xfId="0" applyNumberFormat="1" applyProtection="1">
      <protection hidden="1"/>
    </xf>
    <xf numFmtId="0" fontId="0" fillId="0" borderId="28" xfId="0" applyBorder="1" applyProtection="1">
      <protection hidden="1"/>
    </xf>
    <xf numFmtId="169" fontId="18" fillId="9" borderId="52" xfId="0" applyNumberFormat="1" applyFont="1" applyFill="1" applyBorder="1" applyAlignment="1" applyProtection="1">
      <alignment horizontal="left" vertical="center" wrapText="1"/>
      <protection hidden="1"/>
    </xf>
    <xf numFmtId="169" fontId="18" fillId="9" borderId="53" xfId="0" applyNumberFormat="1" applyFont="1" applyFill="1" applyBorder="1" applyAlignment="1" applyProtection="1">
      <alignment horizontal="left" vertical="center" wrapText="1"/>
      <protection hidden="1"/>
    </xf>
    <xf numFmtId="10" fontId="19" fillId="0" borderId="54" xfId="2" applyNumberFormat="1" applyFont="1" applyFill="1" applyBorder="1" applyAlignment="1" applyProtection="1">
      <alignment horizontal="center" vertical="center" wrapText="1"/>
      <protection hidden="1"/>
    </xf>
    <xf numFmtId="165" fontId="18" fillId="9" borderId="55" xfId="1" applyFont="1" applyFill="1" applyBorder="1" applyAlignment="1" applyProtection="1">
      <alignment horizontal="center" vertical="center" wrapText="1"/>
      <protection hidden="1"/>
    </xf>
    <xf numFmtId="169" fontId="18" fillId="9" borderId="56" xfId="0" applyNumberFormat="1" applyFont="1" applyFill="1" applyBorder="1" applyAlignment="1" applyProtection="1">
      <alignment horizontal="left" vertical="center" wrapText="1"/>
      <protection hidden="1"/>
    </xf>
    <xf numFmtId="169" fontId="18" fillId="9" borderId="57" xfId="0" applyNumberFormat="1" applyFont="1" applyFill="1" applyBorder="1" applyAlignment="1" applyProtection="1">
      <alignment horizontal="left" vertical="center" wrapText="1"/>
      <protection hidden="1"/>
    </xf>
    <xf numFmtId="169" fontId="18" fillId="9" borderId="58" xfId="0" applyNumberFormat="1" applyFont="1" applyFill="1" applyBorder="1" applyAlignment="1" applyProtection="1">
      <alignment horizontal="left" vertical="center" wrapText="1"/>
      <protection hidden="1"/>
    </xf>
    <xf numFmtId="165" fontId="18" fillId="9" borderId="59" xfId="1" applyFont="1" applyFill="1" applyBorder="1" applyAlignment="1" applyProtection="1">
      <alignment horizontal="center" vertical="center" wrapText="1"/>
      <protection hidden="1"/>
    </xf>
    <xf numFmtId="0" fontId="20" fillId="0" borderId="0" xfId="0" applyFont="1" applyProtection="1">
      <protection hidden="1"/>
    </xf>
    <xf numFmtId="0" fontId="18" fillId="5" borderId="43" xfId="0" applyFont="1" applyFill="1" applyBorder="1" applyAlignment="1" applyProtection="1">
      <alignment horizontal="left" vertical="center" wrapText="1"/>
      <protection hidden="1"/>
    </xf>
    <xf numFmtId="0" fontId="18" fillId="5" borderId="44" xfId="0" applyFont="1" applyFill="1" applyBorder="1" applyAlignment="1" applyProtection="1">
      <alignment horizontal="center" vertical="center" wrapText="1"/>
      <protection hidden="1"/>
    </xf>
    <xf numFmtId="0" fontId="18" fillId="5" borderId="45" xfId="0" applyFont="1" applyFill="1" applyBorder="1" applyAlignment="1" applyProtection="1">
      <alignment horizontal="center" vertical="center" wrapText="1"/>
      <protection hidden="1"/>
    </xf>
    <xf numFmtId="0" fontId="25" fillId="6" borderId="46" xfId="0" applyFont="1" applyFill="1" applyBorder="1" applyAlignment="1" applyProtection="1">
      <alignment horizontal="left" vertical="center" wrapText="1"/>
      <protection hidden="1"/>
    </xf>
    <xf numFmtId="0" fontId="25" fillId="6" borderId="47" xfId="0" applyFont="1" applyFill="1" applyBorder="1" applyAlignment="1" applyProtection="1">
      <alignment horizontal="left" vertical="center" wrapText="1"/>
      <protection hidden="1"/>
    </xf>
    <xf numFmtId="165" fontId="24" fillId="6" borderId="48" xfId="1" applyFont="1" applyFill="1" applyBorder="1" applyAlignment="1" applyProtection="1">
      <alignment horizontal="center" vertical="center" wrapText="1"/>
      <protection locked="0"/>
    </xf>
    <xf numFmtId="0" fontId="24" fillId="6" borderId="48" xfId="1" applyNumberFormat="1" applyFont="1" applyFill="1" applyBorder="1" applyAlignment="1" applyProtection="1">
      <alignment horizontal="center" vertical="center" wrapText="1"/>
      <protection locked="0"/>
    </xf>
    <xf numFmtId="0" fontId="25" fillId="6" borderId="51" xfId="0" applyFont="1" applyFill="1" applyBorder="1" applyAlignment="1" applyProtection="1">
      <alignment horizontal="left" vertical="center" wrapText="1"/>
      <protection hidden="1"/>
    </xf>
    <xf numFmtId="0" fontId="25" fillId="6" borderId="26" xfId="0" applyFont="1" applyFill="1" applyBorder="1" applyAlignment="1" applyProtection="1">
      <alignment horizontal="left" vertical="center" wrapText="1"/>
      <protection hidden="1"/>
    </xf>
    <xf numFmtId="169" fontId="24" fillId="6" borderId="48" xfId="1" applyNumberFormat="1" applyFont="1" applyFill="1" applyBorder="1" applyAlignment="1" applyProtection="1">
      <alignment horizontal="center" vertical="center" wrapText="1"/>
      <protection hidden="1"/>
    </xf>
    <xf numFmtId="169" fontId="18" fillId="9" borderId="52" xfId="0" applyNumberFormat="1" applyFont="1" applyFill="1" applyBorder="1" applyAlignment="1" applyProtection="1">
      <alignment horizontal="left" vertical="center" wrapText="1"/>
      <protection hidden="1"/>
    </xf>
    <xf numFmtId="10" fontId="24" fillId="0" borderId="54" xfId="2" applyNumberFormat="1" applyFont="1" applyFill="1" applyBorder="1" applyAlignment="1" applyProtection="1">
      <alignment horizontal="center" vertical="center" wrapText="1"/>
      <protection hidden="1"/>
    </xf>
    <xf numFmtId="165" fontId="24" fillId="11" borderId="48" xfId="1" applyFont="1" applyFill="1" applyBorder="1" applyAlignment="1" applyProtection="1">
      <alignment horizontal="center" vertical="center" wrapText="1"/>
      <protection hidden="1"/>
    </xf>
    <xf numFmtId="0" fontId="26" fillId="10" borderId="0" xfId="0" applyFont="1" applyFill="1" applyAlignment="1" applyProtection="1">
      <alignment horizontal="center" vertical="center"/>
      <protection locked="0"/>
    </xf>
  </cellXfs>
  <cellStyles count="4">
    <cellStyle name="Moeda" xfId="1" builtinId="4"/>
    <cellStyle name="Normal" xfId="0" builtinId="0"/>
    <cellStyle name="Porcentagem" xfId="2" builtinId="5"/>
    <cellStyle name="Vírgula" xfId="3" builtinId="3"/>
  </cellStyles>
  <dxfs count="3">
    <dxf>
      <numFmt numFmtId="167" formatCode=";;"/>
    </dxf>
    <dxf>
      <numFmt numFmtId="167" formatCode=";;"/>
    </dxf>
    <dxf>
      <numFmt numFmtId="167" formatCode="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80209</xdr:colOff>
      <xdr:row>1</xdr:row>
      <xdr:rowOff>120316</xdr:rowOff>
    </xdr:from>
    <xdr:to>
      <xdr:col>6</xdr:col>
      <xdr:colOff>266725</xdr:colOff>
      <xdr:row>1</xdr:row>
      <xdr:rowOff>772026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7C906BE-EAE8-9FEA-8139-964B8051EE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8" y="180474"/>
          <a:ext cx="3435043" cy="6517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b003082\AppData\Roaming\Microsoft\AddIns\Guia%20do%20Excel.xlam" TargetMode="External"/><Relationship Id="rId1" Type="http://schemas.openxmlformats.org/officeDocument/2006/relationships/externalLinkPath" Target="file:///C:\Users\sb003082\AppData\Roaming\Microsoft\AddIns\Guia%20do%20Excel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1"/>
    </sheetNames>
    <definedNames>
      <definedName name="Extenso_Valo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/>
  <dimension ref="A1:M43"/>
  <sheetViews>
    <sheetView showGridLines="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D3" sqref="D3"/>
    </sheetView>
  </sheetViews>
  <sheetFormatPr defaultRowHeight="15" x14ac:dyDescent="0.25"/>
  <cols>
    <col min="3" max="3" width="6.85546875" customWidth="1"/>
    <col min="4" max="4" width="15.85546875" bestFit="1" customWidth="1"/>
    <col min="5" max="5" width="11.7109375" customWidth="1"/>
    <col min="6" max="6" width="14" hidden="1" customWidth="1"/>
    <col min="7" max="7" width="11.7109375" customWidth="1"/>
    <col min="8" max="8" width="11.7109375" bestFit="1" customWidth="1"/>
    <col min="9" max="9" width="19.42578125" bestFit="1" customWidth="1"/>
    <col min="10" max="10" width="18.42578125" bestFit="1" customWidth="1"/>
    <col min="11" max="11" width="9.85546875" bestFit="1" customWidth="1"/>
    <col min="13" max="13" width="17.85546875" bestFit="1" customWidth="1"/>
    <col min="15" max="15" width="13.85546875" bestFit="1" customWidth="1"/>
  </cols>
  <sheetData>
    <row r="1" spans="1:13" ht="43.5" customHeight="1" x14ac:dyDescent="0.25">
      <c r="A1" s="103" t="s">
        <v>4</v>
      </c>
      <c r="B1" s="105" t="s">
        <v>4</v>
      </c>
      <c r="C1" s="105" t="s">
        <v>0</v>
      </c>
      <c r="D1" s="105" t="s">
        <v>5</v>
      </c>
      <c r="E1" s="34" t="s">
        <v>1</v>
      </c>
      <c r="F1" s="101" t="s">
        <v>11</v>
      </c>
      <c r="G1" s="34" t="s">
        <v>2</v>
      </c>
      <c r="H1" s="34" t="s">
        <v>3</v>
      </c>
      <c r="I1" s="97" t="s">
        <v>6</v>
      </c>
      <c r="J1" s="97" t="s">
        <v>7</v>
      </c>
      <c r="K1" s="97" t="s">
        <v>8</v>
      </c>
      <c r="L1" s="97" t="s">
        <v>9</v>
      </c>
      <c r="M1" s="99" t="s">
        <v>10</v>
      </c>
    </row>
    <row r="2" spans="1:13" ht="30" customHeight="1" thickBot="1" x14ac:dyDescent="0.3">
      <c r="A2" s="104"/>
      <c r="B2" s="106"/>
      <c r="C2" s="106" t="s">
        <v>0</v>
      </c>
      <c r="D2" s="106" t="s">
        <v>5</v>
      </c>
      <c r="E2" s="35">
        <v>0.2</v>
      </c>
      <c r="F2" s="102"/>
      <c r="G2" s="35">
        <v>0.11</v>
      </c>
      <c r="H2" s="35">
        <f>+E2+G2</f>
        <v>0.31</v>
      </c>
      <c r="I2" s="98"/>
      <c r="J2" s="98"/>
      <c r="K2" s="98"/>
      <c r="L2" s="98"/>
      <c r="M2" s="100"/>
    </row>
    <row r="3" spans="1:13" ht="20.100000000000001" customHeight="1" x14ac:dyDescent="0.25">
      <c r="A3" s="94" t="s">
        <v>16</v>
      </c>
      <c r="B3" s="10">
        <v>1</v>
      </c>
      <c r="C3" s="10">
        <v>1984</v>
      </c>
      <c r="D3" s="11">
        <f t="shared" ref="D3:D11" si="0">+$D$13/J3</f>
        <v>270.66474659729641</v>
      </c>
      <c r="E3" s="11">
        <f>+D3*$E$2</f>
        <v>54.132949319459286</v>
      </c>
      <c r="F3" s="11"/>
      <c r="G3" s="12">
        <f>+D3*$G$2</f>
        <v>29.773122125702606</v>
      </c>
      <c r="H3" s="12">
        <f>+E3+G3</f>
        <v>83.906071445161899</v>
      </c>
      <c r="I3" s="13">
        <v>3</v>
      </c>
      <c r="J3" s="13">
        <v>2.1526999999999998</v>
      </c>
      <c r="K3" s="13">
        <f>+I3-J3</f>
        <v>0.84730000000000016</v>
      </c>
      <c r="L3" s="13">
        <f t="shared" ref="L3:L13" si="1">((K3+1)^(1/12))-1</f>
        <v>5.2474185534150841E-2</v>
      </c>
      <c r="M3" s="14">
        <f t="shared" ref="M3" si="2">FV(L3,12,-H3,0)</f>
        <v>1354.8302581889002</v>
      </c>
    </row>
    <row r="4" spans="1:13" ht="20.100000000000001" customHeight="1" x14ac:dyDescent="0.25">
      <c r="A4" s="95"/>
      <c r="B4" s="6">
        <v>2</v>
      </c>
      <c r="C4" s="6">
        <v>1985</v>
      </c>
      <c r="D4" s="8">
        <f t="shared" si="0"/>
        <v>240.5300528401585</v>
      </c>
      <c r="E4" s="8">
        <f t="shared" ref="E4:E12" si="3">+D4*$E$2</f>
        <v>48.106010568031706</v>
      </c>
      <c r="F4" s="8"/>
      <c r="G4" s="7">
        <f t="shared" ref="G4:G12" si="4">+D4*$G$2</f>
        <v>26.458305812417436</v>
      </c>
      <c r="H4" s="7">
        <f t="shared" ref="H4:H12" si="5">+E4+G4</f>
        <v>74.564316380449142</v>
      </c>
      <c r="I4" s="9">
        <v>3</v>
      </c>
      <c r="J4" s="9">
        <v>2.4224000000000001</v>
      </c>
      <c r="K4" s="9">
        <f t="shared" ref="K4:K12" si="6">+I4-J4</f>
        <v>0.57759999999999989</v>
      </c>
      <c r="L4" s="9">
        <f t="shared" si="1"/>
        <v>3.8722984075268752E-2</v>
      </c>
      <c r="M4" s="15">
        <f t="shared" ref="M4:M13" si="7">FV(L4,12,-H4,-M3)</f>
        <v>3249.5969044467015</v>
      </c>
    </row>
    <row r="5" spans="1:13" ht="20.100000000000001" customHeight="1" x14ac:dyDescent="0.25">
      <c r="A5" s="95"/>
      <c r="B5" s="6">
        <v>3</v>
      </c>
      <c r="C5" s="6">
        <v>1986</v>
      </c>
      <c r="D5" s="8">
        <f t="shared" si="0"/>
        <v>731.52542372881351</v>
      </c>
      <c r="E5" s="8">
        <f t="shared" si="3"/>
        <v>146.30508474576271</v>
      </c>
      <c r="F5" s="8"/>
      <c r="G5" s="7">
        <f t="shared" si="4"/>
        <v>80.467796610169486</v>
      </c>
      <c r="H5" s="7">
        <f t="shared" si="5"/>
        <v>226.77288135593221</v>
      </c>
      <c r="I5" s="9">
        <v>1</v>
      </c>
      <c r="J5" s="9">
        <v>0.79649999999999999</v>
      </c>
      <c r="K5" s="9">
        <f t="shared" si="6"/>
        <v>0.20350000000000001</v>
      </c>
      <c r="L5" s="9">
        <f t="shared" si="1"/>
        <v>1.555591782823007E-2</v>
      </c>
      <c r="M5" s="15">
        <f t="shared" si="7"/>
        <v>6877.4960153610482</v>
      </c>
    </row>
    <row r="6" spans="1:13" ht="20.100000000000001" customHeight="1" x14ac:dyDescent="0.25">
      <c r="A6" s="95"/>
      <c r="B6" s="6">
        <v>4</v>
      </c>
      <c r="C6" s="6">
        <v>1987</v>
      </c>
      <c r="D6" s="8">
        <f t="shared" si="0"/>
        <v>160.33130623813324</v>
      </c>
      <c r="E6" s="8">
        <f t="shared" si="3"/>
        <v>32.066261247626649</v>
      </c>
      <c r="F6" s="8"/>
      <c r="G6" s="7">
        <f t="shared" si="4"/>
        <v>17.636443686194657</v>
      </c>
      <c r="H6" s="7">
        <f t="shared" si="5"/>
        <v>49.702704933821309</v>
      </c>
      <c r="I6" s="9">
        <v>4</v>
      </c>
      <c r="J6" s="9">
        <v>3.6341000000000001</v>
      </c>
      <c r="K6" s="9">
        <f t="shared" si="6"/>
        <v>0.36589999999999989</v>
      </c>
      <c r="L6" s="9">
        <f t="shared" si="1"/>
        <v>2.6325001998179554E-2</v>
      </c>
      <c r="M6" s="15">
        <f t="shared" si="7"/>
        <v>10084.80631278997</v>
      </c>
    </row>
    <row r="7" spans="1:13" ht="20.100000000000001" customHeight="1" x14ac:dyDescent="0.25">
      <c r="A7" s="95"/>
      <c r="B7" s="6">
        <v>5</v>
      </c>
      <c r="C7" s="6">
        <v>1988</v>
      </c>
      <c r="D7" s="8">
        <f t="shared" si="0"/>
        <v>59.44175797270001</v>
      </c>
      <c r="E7" s="8">
        <f t="shared" si="3"/>
        <v>11.888351594540003</v>
      </c>
      <c r="F7" s="8"/>
      <c r="G7" s="7">
        <f t="shared" si="4"/>
        <v>6.5385933769970013</v>
      </c>
      <c r="H7" s="7">
        <f t="shared" si="5"/>
        <v>18.426944971537004</v>
      </c>
      <c r="I7" s="9">
        <v>10</v>
      </c>
      <c r="J7" s="9">
        <v>9.8021999999999991</v>
      </c>
      <c r="K7" s="9">
        <f t="shared" si="6"/>
        <v>0.19780000000000086</v>
      </c>
      <c r="L7" s="9">
        <f t="shared" si="1"/>
        <v>1.5154223281062418E-2</v>
      </c>
      <c r="M7" s="15">
        <f t="shared" si="7"/>
        <v>12320.098093478973</v>
      </c>
    </row>
    <row r="8" spans="1:13" ht="20.100000000000001" customHeight="1" x14ac:dyDescent="0.25">
      <c r="A8" s="95"/>
      <c r="B8" s="6">
        <v>6</v>
      </c>
      <c r="C8" s="6">
        <v>1989</v>
      </c>
      <c r="D8" s="8">
        <f t="shared" si="0"/>
        <v>29.533024821203199</v>
      </c>
      <c r="E8" s="8">
        <f t="shared" si="3"/>
        <v>5.90660496424064</v>
      </c>
      <c r="F8" s="8"/>
      <c r="G8" s="7">
        <f t="shared" si="4"/>
        <v>3.2486327303323521</v>
      </c>
      <c r="H8" s="7">
        <f t="shared" si="5"/>
        <v>9.1552376945729925</v>
      </c>
      <c r="I8" s="9">
        <v>20</v>
      </c>
      <c r="J8" s="9">
        <v>19.729099999999999</v>
      </c>
      <c r="K8" s="9">
        <f t="shared" si="6"/>
        <v>0.27090000000000103</v>
      </c>
      <c r="L8" s="9">
        <f t="shared" si="1"/>
        <v>2.0177987112214524E-2</v>
      </c>
      <c r="M8" s="15">
        <f t="shared" si="7"/>
        <v>15780.526507598499</v>
      </c>
    </row>
    <row r="9" spans="1:13" ht="20.100000000000001" customHeight="1" x14ac:dyDescent="0.25">
      <c r="A9" s="95"/>
      <c r="B9" s="6">
        <v>7</v>
      </c>
      <c r="C9" s="6">
        <v>1990</v>
      </c>
      <c r="D9" s="8">
        <f t="shared" si="0"/>
        <v>35.945365709209362</v>
      </c>
      <c r="E9" s="8">
        <f t="shared" si="3"/>
        <v>7.189073141841873</v>
      </c>
      <c r="F9" s="8"/>
      <c r="G9" s="7">
        <f t="shared" si="4"/>
        <v>3.9539902280130299</v>
      </c>
      <c r="H9" s="7">
        <f t="shared" si="5"/>
        <v>11.143063369854904</v>
      </c>
      <c r="I9" s="9">
        <v>17</v>
      </c>
      <c r="J9" s="9">
        <v>16.209599999999998</v>
      </c>
      <c r="K9" s="9">
        <f t="shared" si="6"/>
        <v>0.79040000000000177</v>
      </c>
      <c r="L9" s="9">
        <f t="shared" si="1"/>
        <v>4.9733779002503198E-2</v>
      </c>
      <c r="M9" s="15">
        <f t="shared" si="7"/>
        <v>28430.547119584091</v>
      </c>
    </row>
    <row r="10" spans="1:13" ht="20.100000000000001" customHeight="1" x14ac:dyDescent="0.25">
      <c r="A10" s="95"/>
      <c r="B10" s="6">
        <v>8</v>
      </c>
      <c r="C10" s="6">
        <v>1991</v>
      </c>
      <c r="D10" s="8">
        <f t="shared" si="0"/>
        <v>123.26471894899406</v>
      </c>
      <c r="E10" s="8">
        <f t="shared" si="3"/>
        <v>24.652943789798812</v>
      </c>
      <c r="F10" s="8"/>
      <c r="G10" s="7">
        <f t="shared" si="4"/>
        <v>13.559119084389346</v>
      </c>
      <c r="H10" s="7">
        <f t="shared" si="5"/>
        <v>38.212062874188156</v>
      </c>
      <c r="I10" s="9">
        <v>5</v>
      </c>
      <c r="J10" s="9">
        <v>4.7268999999999997</v>
      </c>
      <c r="K10" s="9">
        <f t="shared" si="6"/>
        <v>0.27310000000000034</v>
      </c>
      <c r="L10" s="9">
        <f t="shared" si="1"/>
        <v>2.0325035977586614E-2</v>
      </c>
      <c r="M10" s="15">
        <f t="shared" si="7"/>
        <v>36708.370910565412</v>
      </c>
    </row>
    <row r="11" spans="1:13" ht="20.100000000000001" customHeight="1" x14ac:dyDescent="0.25">
      <c r="A11" s="95"/>
      <c r="B11" s="6">
        <v>9</v>
      </c>
      <c r="C11" s="6">
        <v>1992</v>
      </c>
      <c r="D11" s="8">
        <f t="shared" si="0"/>
        <v>52.065517518698229</v>
      </c>
      <c r="E11" s="8">
        <f t="shared" si="3"/>
        <v>10.413103503739647</v>
      </c>
      <c r="F11" s="8"/>
      <c r="G11" s="7">
        <f t="shared" si="4"/>
        <v>5.7272069270568053</v>
      </c>
      <c r="H11" s="7">
        <f t="shared" si="5"/>
        <v>16.140310430796454</v>
      </c>
      <c r="I11" s="9">
        <v>12</v>
      </c>
      <c r="J11" s="9">
        <v>11.190899999999999</v>
      </c>
      <c r="K11" s="9">
        <f t="shared" si="6"/>
        <v>0.80910000000000082</v>
      </c>
      <c r="L11" s="9">
        <f t="shared" si="1"/>
        <v>5.0643104340038603E-2</v>
      </c>
      <c r="M11" s="15">
        <f t="shared" si="7"/>
        <v>66666.979625251683</v>
      </c>
    </row>
    <row r="12" spans="1:13" ht="20.100000000000001" customHeight="1" thickBot="1" x14ac:dyDescent="0.3">
      <c r="A12" s="96"/>
      <c r="B12" s="16">
        <v>10</v>
      </c>
      <c r="C12" s="16">
        <v>1993</v>
      </c>
      <c r="D12" s="17">
        <f>+$D$13/J12</f>
        <v>23.521385463133036</v>
      </c>
      <c r="E12" s="17">
        <f t="shared" si="3"/>
        <v>4.7042770926266071</v>
      </c>
      <c r="F12" s="17"/>
      <c r="G12" s="18">
        <f t="shared" si="4"/>
        <v>2.587352400944634</v>
      </c>
      <c r="H12" s="18">
        <f t="shared" si="5"/>
        <v>7.2916294935712411</v>
      </c>
      <c r="I12" s="19">
        <v>25</v>
      </c>
      <c r="J12" s="19">
        <v>24.7715</v>
      </c>
      <c r="K12" s="19">
        <f t="shared" si="6"/>
        <v>0.22850000000000037</v>
      </c>
      <c r="L12" s="19">
        <f t="shared" si="1"/>
        <v>1.7297389541042874E-2</v>
      </c>
      <c r="M12" s="20">
        <f t="shared" si="7"/>
        <v>81996.707520873417</v>
      </c>
    </row>
    <row r="13" spans="1:13" ht="20.100000000000001" customHeight="1" x14ac:dyDescent="0.25">
      <c r="A13" s="94" t="s">
        <v>13</v>
      </c>
      <c r="B13" s="21">
        <v>11</v>
      </c>
      <c r="C13" s="21">
        <v>1994</v>
      </c>
      <c r="D13" s="22">
        <v>582.66</v>
      </c>
      <c r="E13" s="22">
        <f t="shared" ref="E13:E37" si="8">+D13*$E$2</f>
        <v>116.532</v>
      </c>
      <c r="F13" s="22">
        <v>64.09259999999999</v>
      </c>
      <c r="G13" s="22">
        <f>IF(D13*$G$2&gt;F13,F13,D13*$G$2)</f>
        <v>64.09259999999999</v>
      </c>
      <c r="H13" s="23">
        <f>+E13+G13</f>
        <v>180.62459999999999</v>
      </c>
      <c r="I13" s="24">
        <v>9.5</v>
      </c>
      <c r="J13" s="24">
        <v>9.1643000000000008</v>
      </c>
      <c r="K13" s="24">
        <f>+I13-J13</f>
        <v>0.33569999999999922</v>
      </c>
      <c r="L13" s="24">
        <f t="shared" si="1"/>
        <v>2.4414563219954166E-2</v>
      </c>
      <c r="M13" s="25">
        <f t="shared" si="7"/>
        <v>112006.58867843206</v>
      </c>
    </row>
    <row r="14" spans="1:13" ht="20.100000000000001" customHeight="1" x14ac:dyDescent="0.25">
      <c r="A14" s="95"/>
      <c r="B14" s="2">
        <v>12</v>
      </c>
      <c r="C14" s="2">
        <v>1995</v>
      </c>
      <c r="D14" s="4">
        <v>832.66</v>
      </c>
      <c r="E14" s="3">
        <f t="shared" si="8"/>
        <v>166.53200000000001</v>
      </c>
      <c r="F14" s="3">
        <v>91.59259999999999</v>
      </c>
      <c r="G14" s="3">
        <f t="shared" ref="G14:G37" si="9">IF(D14*$G$2&gt;F14,F14,D14*$G$2)</f>
        <v>91.59259999999999</v>
      </c>
      <c r="H14" s="4">
        <f t="shared" ref="H14:H37" si="10">+E14+G14</f>
        <v>258.12459999999999</v>
      </c>
      <c r="I14" s="5">
        <v>0.46267898472423075</v>
      </c>
      <c r="J14" s="5">
        <v>0.22409999999999999</v>
      </c>
      <c r="K14" s="5">
        <f t="shared" ref="K14:K37" si="11">+I14-J14</f>
        <v>0.23857898472423075</v>
      </c>
      <c r="L14" s="5">
        <f t="shared" ref="L14:L37" si="12">((K14+1)^(1/12))-1</f>
        <v>1.7990305706695908E-2</v>
      </c>
      <c r="M14" s="26">
        <f>FV(L14,12,-H14,-M13)</f>
        <v>142152.13409884303</v>
      </c>
    </row>
    <row r="15" spans="1:13" ht="20.100000000000001" customHeight="1" x14ac:dyDescent="0.25">
      <c r="A15" s="95"/>
      <c r="B15" s="2">
        <v>13</v>
      </c>
      <c r="C15" s="2">
        <v>1996</v>
      </c>
      <c r="D15" s="4">
        <v>957.56</v>
      </c>
      <c r="E15" s="3">
        <f t="shared" si="8"/>
        <v>191.512</v>
      </c>
      <c r="F15" s="3">
        <v>105.33159999999999</v>
      </c>
      <c r="G15" s="3">
        <f t="shared" si="9"/>
        <v>105.33159999999999</v>
      </c>
      <c r="H15" s="4">
        <f t="shared" si="10"/>
        <v>296.84359999999998</v>
      </c>
      <c r="I15" s="5">
        <v>0.27406077075602697</v>
      </c>
      <c r="J15" s="5">
        <v>9.5600000000000004E-2</v>
      </c>
      <c r="K15" s="5">
        <f t="shared" si="11"/>
        <v>0.17846077075602695</v>
      </c>
      <c r="L15" s="5">
        <f t="shared" si="12"/>
        <v>1.3778152062270177E-2</v>
      </c>
      <c r="M15" s="26">
        <f>FV(L15,12,-H15,-M14)</f>
        <v>171365.56421826885</v>
      </c>
    </row>
    <row r="16" spans="1:13" ht="20.100000000000001" customHeight="1" x14ac:dyDescent="0.25">
      <c r="A16" s="95"/>
      <c r="B16" s="2">
        <v>14</v>
      </c>
      <c r="C16" s="2">
        <v>1997</v>
      </c>
      <c r="D16" s="4">
        <v>1031.8699999999999</v>
      </c>
      <c r="E16" s="3">
        <f t="shared" si="8"/>
        <v>206.374</v>
      </c>
      <c r="F16" s="3">
        <v>113.50569999999999</v>
      </c>
      <c r="G16" s="3">
        <f t="shared" si="9"/>
        <v>113.50569999999999</v>
      </c>
      <c r="H16" s="4">
        <f t="shared" si="10"/>
        <v>319.87969999999996</v>
      </c>
      <c r="I16" s="5">
        <v>0.24768888030442504</v>
      </c>
      <c r="J16" s="5">
        <v>5.2200000000000003E-2</v>
      </c>
      <c r="K16" s="5">
        <f t="shared" si="11"/>
        <v>0.19548888030442504</v>
      </c>
      <c r="L16" s="5">
        <f t="shared" si="12"/>
        <v>1.4990852916631381E-2</v>
      </c>
      <c r="M16" s="26">
        <f t="shared" ref="M16:M37" si="13">FV(L16,12,-H16,-M15)</f>
        <v>209037.03186188877</v>
      </c>
    </row>
    <row r="17" spans="1:13" ht="20.100000000000001" customHeight="1" x14ac:dyDescent="0.25">
      <c r="A17" s="95"/>
      <c r="B17" s="2">
        <v>15</v>
      </c>
      <c r="C17" s="2">
        <v>1998</v>
      </c>
      <c r="D17" s="4">
        <v>1200</v>
      </c>
      <c r="E17" s="3">
        <f t="shared" si="8"/>
        <v>240</v>
      </c>
      <c r="F17" s="3">
        <v>132</v>
      </c>
      <c r="G17" s="3">
        <f t="shared" si="9"/>
        <v>132</v>
      </c>
      <c r="H17" s="4">
        <f t="shared" si="10"/>
        <v>372</v>
      </c>
      <c r="I17" s="5">
        <v>0.2878593389924613</v>
      </c>
      <c r="J17" s="5">
        <v>1.66E-2</v>
      </c>
      <c r="K17" s="5">
        <f t="shared" si="11"/>
        <v>0.2712593389924613</v>
      </c>
      <c r="L17" s="5">
        <f t="shared" si="12"/>
        <v>2.0202021407590198E-2</v>
      </c>
      <c r="M17" s="26">
        <f t="shared" si="13"/>
        <v>270735.24811981921</v>
      </c>
    </row>
    <row r="18" spans="1:13" ht="20.100000000000001" customHeight="1" x14ac:dyDescent="0.25">
      <c r="A18" s="95"/>
      <c r="B18" s="2">
        <v>16</v>
      </c>
      <c r="C18" s="2">
        <v>1999</v>
      </c>
      <c r="D18" s="4">
        <v>1255.32</v>
      </c>
      <c r="E18" s="3">
        <f t="shared" si="8"/>
        <v>251.06399999999999</v>
      </c>
      <c r="F18" s="3">
        <v>138.08519999999999</v>
      </c>
      <c r="G18" s="3">
        <f t="shared" si="9"/>
        <v>138.08519999999999</v>
      </c>
      <c r="H18" s="4">
        <f t="shared" si="10"/>
        <v>389.14919999999995</v>
      </c>
      <c r="I18" s="5">
        <v>0.25589511422245903</v>
      </c>
      <c r="J18" s="5">
        <v>8.9399999999999993E-2</v>
      </c>
      <c r="K18" s="5">
        <f t="shared" si="11"/>
        <v>0.16649511422245905</v>
      </c>
      <c r="L18" s="5">
        <f t="shared" si="12"/>
        <v>1.2916339857756087E-2</v>
      </c>
      <c r="M18" s="26">
        <f t="shared" si="13"/>
        <v>320827.582619961</v>
      </c>
    </row>
    <row r="19" spans="1:13" ht="20.100000000000001" customHeight="1" x14ac:dyDescent="0.25">
      <c r="A19" s="95"/>
      <c r="B19" s="2">
        <v>17</v>
      </c>
      <c r="C19" s="2">
        <v>2000</v>
      </c>
      <c r="D19" s="4">
        <v>1328.25</v>
      </c>
      <c r="E19" s="3">
        <f t="shared" si="8"/>
        <v>265.65000000000003</v>
      </c>
      <c r="F19" s="3">
        <v>146.10749999999999</v>
      </c>
      <c r="G19" s="3">
        <f t="shared" si="9"/>
        <v>146.10749999999999</v>
      </c>
      <c r="H19" s="4">
        <f t="shared" si="10"/>
        <v>411.75750000000005</v>
      </c>
      <c r="I19" s="5">
        <v>0.17446378391309092</v>
      </c>
      <c r="J19" s="5">
        <v>5.9700000000000003E-2</v>
      </c>
      <c r="K19" s="5">
        <f t="shared" si="11"/>
        <v>0.11476378391309092</v>
      </c>
      <c r="L19" s="5">
        <f t="shared" si="12"/>
        <v>9.0946514154470748E-3</v>
      </c>
      <c r="M19" s="26">
        <f t="shared" si="13"/>
        <v>362842.86442856281</v>
      </c>
    </row>
    <row r="20" spans="1:13" ht="20.100000000000001" customHeight="1" x14ac:dyDescent="0.25">
      <c r="A20" s="95"/>
      <c r="B20" s="2">
        <v>18</v>
      </c>
      <c r="C20" s="2">
        <v>2001</v>
      </c>
      <c r="D20" s="4">
        <v>1430</v>
      </c>
      <c r="E20" s="3">
        <f t="shared" si="8"/>
        <v>286</v>
      </c>
      <c r="F20" s="3">
        <v>157.30000000000001</v>
      </c>
      <c r="G20" s="3">
        <f t="shared" si="9"/>
        <v>157.30000000000001</v>
      </c>
      <c r="H20" s="4">
        <f t="shared" si="10"/>
        <v>443.3</v>
      </c>
      <c r="I20" s="5">
        <v>0.17318085362965707</v>
      </c>
      <c r="J20" s="5">
        <v>7.6700000000000004E-2</v>
      </c>
      <c r="K20" s="5">
        <f t="shared" si="11"/>
        <v>9.6480853629657068E-2</v>
      </c>
      <c r="L20" s="5">
        <f t="shared" si="12"/>
        <v>7.7050176634023693E-3</v>
      </c>
      <c r="M20" s="26">
        <f t="shared" si="13"/>
        <v>403401.17706610169</v>
      </c>
    </row>
    <row r="21" spans="1:13" ht="20.100000000000001" customHeight="1" x14ac:dyDescent="0.25">
      <c r="A21" s="95"/>
      <c r="B21" s="2">
        <v>19</v>
      </c>
      <c r="C21" s="2">
        <v>2002</v>
      </c>
      <c r="D21" s="4">
        <v>1561.56</v>
      </c>
      <c r="E21" s="3">
        <f t="shared" si="8"/>
        <v>312.31200000000001</v>
      </c>
      <c r="F21" s="3">
        <v>171.77160000000001</v>
      </c>
      <c r="G21" s="3">
        <f t="shared" si="9"/>
        <v>171.77160000000001</v>
      </c>
      <c r="H21" s="4">
        <f t="shared" si="10"/>
        <v>484.08360000000005</v>
      </c>
      <c r="I21" s="5">
        <v>0.19160717707107833</v>
      </c>
      <c r="J21" s="5">
        <v>0.12529999999999999</v>
      </c>
      <c r="K21" s="5">
        <f t="shared" si="11"/>
        <v>6.6307177071078333E-2</v>
      </c>
      <c r="L21" s="5">
        <f t="shared" si="12"/>
        <v>5.364457687330404E-3</v>
      </c>
      <c r="M21" s="26">
        <f t="shared" si="13"/>
        <v>436133.06743839011</v>
      </c>
    </row>
    <row r="22" spans="1:13" ht="20.100000000000001" customHeight="1" x14ac:dyDescent="0.25">
      <c r="A22" s="95"/>
      <c r="B22" s="2">
        <v>20</v>
      </c>
      <c r="C22" s="2">
        <v>2003</v>
      </c>
      <c r="D22" s="4">
        <v>2400</v>
      </c>
      <c r="E22" s="3">
        <f t="shared" si="8"/>
        <v>480</v>
      </c>
      <c r="F22" s="3">
        <v>264</v>
      </c>
      <c r="G22" s="3">
        <f t="shared" si="9"/>
        <v>264</v>
      </c>
      <c r="H22" s="4">
        <f t="shared" si="10"/>
        <v>744</v>
      </c>
      <c r="I22" s="5">
        <v>0.23334331213970194</v>
      </c>
      <c r="J22" s="5">
        <v>9.2999999999999999E-2</v>
      </c>
      <c r="K22" s="5">
        <f t="shared" si="11"/>
        <v>0.14034331213970194</v>
      </c>
      <c r="L22" s="5">
        <f t="shared" si="12"/>
        <v>1.1004219889887867E-2</v>
      </c>
      <c r="M22" s="26">
        <f t="shared" si="13"/>
        <v>506830.09784582717</v>
      </c>
    </row>
    <row r="23" spans="1:13" ht="20.100000000000001" customHeight="1" x14ac:dyDescent="0.25">
      <c r="A23" s="95"/>
      <c r="B23" s="2">
        <v>21</v>
      </c>
      <c r="C23" s="2">
        <v>2004</v>
      </c>
      <c r="D23" s="4">
        <v>2508.7199999999998</v>
      </c>
      <c r="E23" s="3">
        <f t="shared" si="8"/>
        <v>501.74399999999997</v>
      </c>
      <c r="F23" s="3">
        <v>275.95919999999995</v>
      </c>
      <c r="G23" s="3">
        <f t="shared" si="9"/>
        <v>275.95919999999995</v>
      </c>
      <c r="H23" s="4">
        <f t="shared" si="10"/>
        <v>777.70319999999992</v>
      </c>
      <c r="I23" s="5">
        <v>0.16235441175786258</v>
      </c>
      <c r="J23" s="5">
        <v>7.5999999999999998E-2</v>
      </c>
      <c r="K23" s="5">
        <f t="shared" si="11"/>
        <v>8.6354411757862584E-2</v>
      </c>
      <c r="L23" s="5">
        <f t="shared" si="12"/>
        <v>6.9261685803205797E-3</v>
      </c>
      <c r="M23" s="26">
        <f t="shared" si="13"/>
        <v>560293.39749539888</v>
      </c>
    </row>
    <row r="24" spans="1:13" ht="20.100000000000001" customHeight="1" x14ac:dyDescent="0.25">
      <c r="A24" s="95"/>
      <c r="B24" s="2">
        <v>22</v>
      </c>
      <c r="C24" s="2">
        <v>2005</v>
      </c>
      <c r="D24" s="4">
        <v>2668.15</v>
      </c>
      <c r="E24" s="3">
        <f t="shared" si="8"/>
        <v>533.63</v>
      </c>
      <c r="F24" s="3">
        <v>293.49650000000003</v>
      </c>
      <c r="G24" s="3">
        <f t="shared" si="9"/>
        <v>293.49650000000003</v>
      </c>
      <c r="H24" s="4">
        <f t="shared" si="10"/>
        <v>827.12650000000008</v>
      </c>
      <c r="I24" s="5">
        <v>0.19043721921721501</v>
      </c>
      <c r="J24" s="5">
        <v>5.6899999999999999E-2</v>
      </c>
      <c r="K24" s="5">
        <f t="shared" si="11"/>
        <v>0.13353721921721501</v>
      </c>
      <c r="L24" s="5">
        <f t="shared" si="12"/>
        <v>1.0499994252352485E-2</v>
      </c>
      <c r="M24" s="26">
        <f t="shared" si="13"/>
        <v>645632.68004859204</v>
      </c>
    </row>
    <row r="25" spans="1:13" ht="20.100000000000001" customHeight="1" x14ac:dyDescent="0.25">
      <c r="A25" s="95"/>
      <c r="B25" s="2">
        <v>23</v>
      </c>
      <c r="C25" s="2">
        <v>2006</v>
      </c>
      <c r="D25" s="4">
        <v>2801.56</v>
      </c>
      <c r="E25" s="3">
        <f t="shared" si="8"/>
        <v>560.31200000000001</v>
      </c>
      <c r="F25" s="3">
        <v>308.17160000000001</v>
      </c>
      <c r="G25" s="3">
        <f t="shared" si="9"/>
        <v>308.17160000000001</v>
      </c>
      <c r="H25" s="4">
        <f t="shared" si="10"/>
        <v>868.48360000000002</v>
      </c>
      <c r="I25" s="5">
        <v>0.15080680063068042</v>
      </c>
      <c r="J25" s="5">
        <v>3.1399999999999997E-2</v>
      </c>
      <c r="K25" s="5">
        <f t="shared" si="11"/>
        <v>0.11940680063068042</v>
      </c>
      <c r="L25" s="5">
        <f t="shared" si="12"/>
        <v>9.4442264515721686E-3</v>
      </c>
      <c r="M25" s="26">
        <f t="shared" si="13"/>
        <v>733706.16776557628</v>
      </c>
    </row>
    <row r="26" spans="1:13" ht="20.100000000000001" customHeight="1" x14ac:dyDescent="0.25">
      <c r="A26" s="95"/>
      <c r="B26" s="2">
        <v>24</v>
      </c>
      <c r="C26" s="2">
        <v>2007</v>
      </c>
      <c r="D26" s="4">
        <v>2894.28</v>
      </c>
      <c r="E26" s="3">
        <f t="shared" si="8"/>
        <v>578.85600000000011</v>
      </c>
      <c r="F26" s="3">
        <v>318.37080000000003</v>
      </c>
      <c r="G26" s="3">
        <f t="shared" si="9"/>
        <v>318.37080000000003</v>
      </c>
      <c r="H26" s="4">
        <f t="shared" si="10"/>
        <v>897.22680000000014</v>
      </c>
      <c r="I26" s="5">
        <v>0.11848107294965815</v>
      </c>
      <c r="J26" s="5">
        <v>4.4499999999999998E-2</v>
      </c>
      <c r="K26" s="5">
        <f t="shared" si="11"/>
        <v>7.3981072949658153E-2</v>
      </c>
      <c r="L26" s="5">
        <f t="shared" si="12"/>
        <v>5.9654204214889539E-3</v>
      </c>
      <c r="M26" s="26">
        <f t="shared" si="13"/>
        <v>799113.63255459035</v>
      </c>
    </row>
    <row r="27" spans="1:13" ht="20.100000000000001" customHeight="1" x14ac:dyDescent="0.25">
      <c r="A27" s="95"/>
      <c r="B27" s="2">
        <v>25</v>
      </c>
      <c r="C27" s="2">
        <v>2008</v>
      </c>
      <c r="D27" s="4">
        <v>3038.99</v>
      </c>
      <c r="E27" s="3">
        <f t="shared" si="8"/>
        <v>607.798</v>
      </c>
      <c r="F27" s="3">
        <v>334.28889999999996</v>
      </c>
      <c r="G27" s="3">
        <f t="shared" si="9"/>
        <v>334.28889999999996</v>
      </c>
      <c r="H27" s="4">
        <f t="shared" si="10"/>
        <v>942.08690000000001</v>
      </c>
      <c r="I27" s="5">
        <v>0.12480984715045285</v>
      </c>
      <c r="J27" s="5">
        <v>5.8999999999999997E-2</v>
      </c>
      <c r="K27" s="5">
        <f t="shared" si="11"/>
        <v>6.5809847150452849E-2</v>
      </c>
      <c r="L27" s="5">
        <f t="shared" si="12"/>
        <v>5.3253738322946997E-3</v>
      </c>
      <c r="M27" s="26">
        <f t="shared" si="13"/>
        <v>863345.28987293644</v>
      </c>
    </row>
    <row r="28" spans="1:13" ht="20.100000000000001" customHeight="1" x14ac:dyDescent="0.25">
      <c r="A28" s="95"/>
      <c r="B28" s="2">
        <v>26</v>
      </c>
      <c r="C28" s="2">
        <v>2009</v>
      </c>
      <c r="D28" s="4">
        <v>3467.4</v>
      </c>
      <c r="E28" s="3">
        <f t="shared" si="8"/>
        <v>693.48</v>
      </c>
      <c r="F28" s="3">
        <v>381.41399999999999</v>
      </c>
      <c r="G28" s="3">
        <f t="shared" si="9"/>
        <v>381.41399999999999</v>
      </c>
      <c r="H28" s="4">
        <f t="shared" si="10"/>
        <v>1074.894</v>
      </c>
      <c r="I28" s="5">
        <v>9.9238979114528059E-2</v>
      </c>
      <c r="J28" s="5">
        <v>4.3099999999999999E-2</v>
      </c>
      <c r="K28" s="5">
        <f t="shared" si="11"/>
        <v>5.6138979114528059E-2</v>
      </c>
      <c r="L28" s="5">
        <f t="shared" si="12"/>
        <v>4.5620232906429248E-3</v>
      </c>
      <c r="M28" s="26">
        <f t="shared" si="13"/>
        <v>925039.9571607057</v>
      </c>
    </row>
    <row r="29" spans="1:13" ht="20.100000000000001" customHeight="1" x14ac:dyDescent="0.25">
      <c r="A29" s="95"/>
      <c r="B29" s="2">
        <v>27</v>
      </c>
      <c r="C29" s="2">
        <v>2010</v>
      </c>
      <c r="D29" s="4">
        <v>3689.66</v>
      </c>
      <c r="E29" s="3">
        <f t="shared" si="8"/>
        <v>737.93200000000002</v>
      </c>
      <c r="F29" s="3">
        <v>405.86259999999999</v>
      </c>
      <c r="G29" s="3">
        <f t="shared" si="9"/>
        <v>405.86259999999999</v>
      </c>
      <c r="H29" s="4">
        <f t="shared" si="10"/>
        <v>1143.7945999999999</v>
      </c>
      <c r="I29" s="5">
        <v>9.7824586356658028E-2</v>
      </c>
      <c r="J29" s="5">
        <v>5.8999999999999997E-2</v>
      </c>
      <c r="K29" s="5">
        <f t="shared" si="11"/>
        <v>3.8824586356658031E-2</v>
      </c>
      <c r="L29" s="5">
        <f t="shared" si="12"/>
        <v>3.1791986801559258E-3</v>
      </c>
      <c r="M29" s="26">
        <f t="shared" si="13"/>
        <v>974922.34681508108</v>
      </c>
    </row>
    <row r="30" spans="1:13" ht="20.100000000000001" customHeight="1" x14ac:dyDescent="0.25">
      <c r="A30" s="95"/>
      <c r="B30" s="2">
        <v>28</v>
      </c>
      <c r="C30" s="2">
        <v>2011</v>
      </c>
      <c r="D30" s="4">
        <v>3691.74</v>
      </c>
      <c r="E30" s="3">
        <f t="shared" si="8"/>
        <v>738.34799999999996</v>
      </c>
      <c r="F30" s="3">
        <v>406.09139999999996</v>
      </c>
      <c r="G30" s="3">
        <f t="shared" si="9"/>
        <v>406.09139999999996</v>
      </c>
      <c r="H30" s="4">
        <f t="shared" si="10"/>
        <v>1144.4394</v>
      </c>
      <c r="I30" s="5">
        <v>0.1161582141157127</v>
      </c>
      <c r="J30" s="5">
        <v>6.5000000000000002E-2</v>
      </c>
      <c r="K30" s="5">
        <f t="shared" si="11"/>
        <v>5.1158214115712697E-2</v>
      </c>
      <c r="L30" s="5">
        <f t="shared" si="12"/>
        <v>4.166373410144697E-3</v>
      </c>
      <c r="M30" s="26">
        <f t="shared" si="13"/>
        <v>1038850.0162166074</v>
      </c>
    </row>
    <row r="31" spans="1:13" ht="20.100000000000001" customHeight="1" x14ac:dyDescent="0.25">
      <c r="A31" s="95"/>
      <c r="B31" s="2">
        <v>29</v>
      </c>
      <c r="C31" s="2">
        <v>2012</v>
      </c>
      <c r="D31" s="4">
        <v>3916.2</v>
      </c>
      <c r="E31" s="3">
        <f t="shared" si="8"/>
        <v>783.24</v>
      </c>
      <c r="F31" s="3">
        <v>430.78199999999998</v>
      </c>
      <c r="G31" s="3">
        <f t="shared" si="9"/>
        <v>430.78199999999998</v>
      </c>
      <c r="H31" s="4">
        <f t="shared" si="10"/>
        <v>1214.0219999999999</v>
      </c>
      <c r="I31" s="5">
        <v>8.4822709408909569E-2</v>
      </c>
      <c r="J31" s="5">
        <v>5.8299999999999998E-2</v>
      </c>
      <c r="K31" s="5">
        <f t="shared" si="11"/>
        <v>2.6522709408909571E-2</v>
      </c>
      <c r="L31" s="5">
        <f t="shared" si="12"/>
        <v>2.1838043997894907E-3</v>
      </c>
      <c r="M31" s="26">
        <f t="shared" si="13"/>
        <v>1081147.655639281</v>
      </c>
    </row>
    <row r="32" spans="1:13" ht="20.100000000000001" customHeight="1" x14ac:dyDescent="0.25">
      <c r="A32" s="95"/>
      <c r="B32" s="2">
        <v>30</v>
      </c>
      <c r="C32" s="2">
        <v>2013</v>
      </c>
      <c r="D32" s="4">
        <v>4159</v>
      </c>
      <c r="E32" s="3">
        <f t="shared" si="8"/>
        <v>831.80000000000007</v>
      </c>
      <c r="F32" s="3">
        <v>457.49</v>
      </c>
      <c r="G32" s="3">
        <f t="shared" si="9"/>
        <v>457.49</v>
      </c>
      <c r="H32" s="4">
        <f t="shared" si="10"/>
        <v>1289.29</v>
      </c>
      <c r="I32" s="5">
        <v>8.213356184231535E-2</v>
      </c>
      <c r="J32" s="5">
        <v>5.91E-2</v>
      </c>
      <c r="K32" s="5">
        <f t="shared" si="11"/>
        <v>2.303356184231535E-2</v>
      </c>
      <c r="L32" s="5">
        <f t="shared" si="12"/>
        <v>1.8994928975748504E-3</v>
      </c>
      <c r="M32" s="26">
        <f t="shared" si="13"/>
        <v>1121684.4786360206</v>
      </c>
    </row>
    <row r="33" spans="1:13" ht="20.100000000000001" customHeight="1" x14ac:dyDescent="0.25">
      <c r="A33" s="95"/>
      <c r="B33" s="2">
        <v>31</v>
      </c>
      <c r="C33" s="2">
        <v>2014</v>
      </c>
      <c r="D33" s="4">
        <v>4390.24</v>
      </c>
      <c r="E33" s="3">
        <f t="shared" si="8"/>
        <v>878.048</v>
      </c>
      <c r="F33" s="3">
        <v>482.9264</v>
      </c>
      <c r="G33" s="3">
        <f t="shared" si="9"/>
        <v>482.9264</v>
      </c>
      <c r="H33" s="4">
        <f t="shared" si="10"/>
        <v>1360.9744000000001</v>
      </c>
      <c r="I33" s="5">
        <v>0.10910092068966115</v>
      </c>
      <c r="J33" s="5">
        <v>6.4000000000000001E-2</v>
      </c>
      <c r="K33" s="5">
        <f t="shared" si="11"/>
        <v>4.510092068966115E-2</v>
      </c>
      <c r="L33" s="5">
        <f t="shared" si="12"/>
        <v>3.6828865193141436E-3</v>
      </c>
      <c r="M33" s="26">
        <f t="shared" si="13"/>
        <v>1188940.0818921893</v>
      </c>
    </row>
    <row r="34" spans="1:13" ht="20.100000000000001" customHeight="1" x14ac:dyDescent="0.25">
      <c r="A34" s="95"/>
      <c r="B34" s="2">
        <v>32</v>
      </c>
      <c r="C34" s="2">
        <v>2015</v>
      </c>
      <c r="D34" s="4">
        <v>4663.75</v>
      </c>
      <c r="E34" s="3">
        <f t="shared" si="8"/>
        <v>932.75</v>
      </c>
      <c r="F34" s="3">
        <v>513.01250000000005</v>
      </c>
      <c r="G34" s="3">
        <f t="shared" si="9"/>
        <v>513.01250000000005</v>
      </c>
      <c r="H34" s="4">
        <f t="shared" si="10"/>
        <v>1445.7625</v>
      </c>
      <c r="I34" s="5">
        <v>0.13285783603385881</v>
      </c>
      <c r="J34" s="5">
        <v>0.1067</v>
      </c>
      <c r="K34" s="5">
        <f t="shared" si="11"/>
        <v>2.6157836033858808E-2</v>
      </c>
      <c r="L34" s="5">
        <f t="shared" si="12"/>
        <v>2.1541143785130945E-3</v>
      </c>
      <c r="M34" s="26">
        <f t="shared" si="13"/>
        <v>1237596.3609813016</v>
      </c>
    </row>
    <row r="35" spans="1:13" ht="20.100000000000001" customHeight="1" x14ac:dyDescent="0.25">
      <c r="A35" s="95"/>
      <c r="B35" s="2">
        <v>33</v>
      </c>
      <c r="C35" s="2">
        <v>2016</v>
      </c>
      <c r="D35" s="4">
        <v>5189.82</v>
      </c>
      <c r="E35" s="3">
        <f t="shared" si="8"/>
        <v>1037.9639999999999</v>
      </c>
      <c r="F35" s="3">
        <v>570.88019999999995</v>
      </c>
      <c r="G35" s="3">
        <f t="shared" si="9"/>
        <v>570.88019999999995</v>
      </c>
      <c r="H35" s="4">
        <f t="shared" si="10"/>
        <v>1608.8442</v>
      </c>
      <c r="I35" s="5">
        <v>0.14028387629515349</v>
      </c>
      <c r="J35" s="5">
        <v>6.2799999999999995E-2</v>
      </c>
      <c r="K35" s="5">
        <f t="shared" si="11"/>
        <v>7.7483876295153492E-2</v>
      </c>
      <c r="L35" s="5">
        <f t="shared" si="12"/>
        <v>6.2384266721979831E-3</v>
      </c>
      <c r="M35" s="26">
        <f t="shared" si="13"/>
        <v>1353472.6441947173</v>
      </c>
    </row>
    <row r="36" spans="1:13" ht="20.100000000000001" customHeight="1" x14ac:dyDescent="0.25">
      <c r="A36" s="95"/>
      <c r="B36" s="2">
        <v>34</v>
      </c>
      <c r="C36" s="2">
        <v>2017</v>
      </c>
      <c r="D36" s="4">
        <v>5531.31</v>
      </c>
      <c r="E36" s="3">
        <f t="shared" si="8"/>
        <v>1106.2620000000002</v>
      </c>
      <c r="F36" s="3">
        <v>608.44410000000005</v>
      </c>
      <c r="G36" s="3">
        <f t="shared" si="9"/>
        <v>608.44410000000005</v>
      </c>
      <c r="H36" s="4">
        <f t="shared" si="10"/>
        <v>1714.7061000000003</v>
      </c>
      <c r="I36" s="5">
        <v>9.9556423164933516E-2</v>
      </c>
      <c r="J36" s="5">
        <v>2.9399999999999999E-2</v>
      </c>
      <c r="K36" s="5">
        <f t="shared" si="11"/>
        <v>7.0156423164933521E-2</v>
      </c>
      <c r="L36" s="5">
        <f t="shared" si="12"/>
        <v>5.6663959376423989E-3</v>
      </c>
      <c r="M36" s="26">
        <f t="shared" si="13"/>
        <v>1469657.4545280386</v>
      </c>
    </row>
    <row r="37" spans="1:13" ht="20.100000000000001" customHeight="1" thickBot="1" x14ac:dyDescent="0.3">
      <c r="A37" s="96"/>
      <c r="B37" s="27">
        <v>35</v>
      </c>
      <c r="C37" s="27">
        <v>2018</v>
      </c>
      <c r="D37" s="28">
        <v>5645.8</v>
      </c>
      <c r="E37" s="29">
        <f t="shared" si="8"/>
        <v>1129.1600000000001</v>
      </c>
      <c r="F37" s="29">
        <v>621.03800000000001</v>
      </c>
      <c r="G37" s="29">
        <f t="shared" si="9"/>
        <v>621.03800000000001</v>
      </c>
      <c r="H37" s="28">
        <f t="shared" si="10"/>
        <v>1750.1980000000001</v>
      </c>
      <c r="I37" s="30">
        <v>5.3862060580474713E-2</v>
      </c>
      <c r="J37" s="30">
        <v>3.7999999999999999E-2</v>
      </c>
      <c r="K37" s="30">
        <f t="shared" si="11"/>
        <v>1.5862060580474714E-2</v>
      </c>
      <c r="L37" s="30">
        <f t="shared" si="12"/>
        <v>1.3123247449897679E-3</v>
      </c>
      <c r="M37" s="31">
        <f t="shared" si="13"/>
        <v>1514123.8818445157</v>
      </c>
    </row>
    <row r="38" spans="1:13" ht="31.5" customHeight="1" thickBot="1" x14ac:dyDescent="0.3">
      <c r="A38" s="91" t="s">
        <v>12</v>
      </c>
      <c r="B38" s="92"/>
      <c r="C38" s="92"/>
      <c r="D38" s="92"/>
      <c r="E38" s="92"/>
      <c r="F38" s="92"/>
      <c r="G38" s="92"/>
      <c r="H38" s="93"/>
      <c r="I38" s="32">
        <f>FVSCHEDULE(1,I3:I37)-1</f>
        <v>567357934024.83813</v>
      </c>
      <c r="J38" s="32">
        <f t="shared" ref="J38:L38" si="14">FVSCHEDULE(1,J3:J37)-1</f>
        <v>31762334601.12883</v>
      </c>
      <c r="K38" s="32">
        <f t="shared" si="14"/>
        <v>454.60050265018765</v>
      </c>
      <c r="L38" s="32">
        <f t="shared" si="14"/>
        <v>0.66551551573482204</v>
      </c>
      <c r="M38" s="33"/>
    </row>
    <row r="39" spans="1:13" ht="6" customHeight="1" thickBot="1" x14ac:dyDescent="0.3"/>
    <row r="40" spans="1:13" ht="21.75" thickBot="1" x14ac:dyDescent="0.3">
      <c r="J40" t="s">
        <v>18</v>
      </c>
      <c r="M40" s="36">
        <f>PMT(L37,M43*12,-M37)</f>
        <v>6316.7282610132115</v>
      </c>
    </row>
    <row r="41" spans="1:13" ht="18.75" x14ac:dyDescent="0.25">
      <c r="J41" t="s">
        <v>14</v>
      </c>
      <c r="M41" s="37">
        <v>60</v>
      </c>
    </row>
    <row r="42" spans="1:13" ht="18.75" x14ac:dyDescent="0.25">
      <c r="J42" t="s">
        <v>15</v>
      </c>
      <c r="M42" s="37">
        <v>84</v>
      </c>
    </row>
    <row r="43" spans="1:13" ht="18.75" x14ac:dyDescent="0.25">
      <c r="I43" s="1"/>
      <c r="J43" t="s">
        <v>17</v>
      </c>
      <c r="M43" s="37">
        <f>+M42-M41</f>
        <v>24</v>
      </c>
    </row>
  </sheetData>
  <mergeCells count="13">
    <mergeCell ref="A38:H38"/>
    <mergeCell ref="A3:A12"/>
    <mergeCell ref="A13:A37"/>
    <mergeCell ref="L1:L2"/>
    <mergeCell ref="M1:M2"/>
    <mergeCell ref="F1:F2"/>
    <mergeCell ref="A1:A2"/>
    <mergeCell ref="B1:B2"/>
    <mergeCell ref="C1:C2"/>
    <mergeCell ref="D1:D2"/>
    <mergeCell ref="I1:I2"/>
    <mergeCell ref="J1:J2"/>
    <mergeCell ref="K1:K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1">
    <pageSetUpPr fitToPage="1"/>
  </sheetPr>
  <dimension ref="A1:P65"/>
  <sheetViews>
    <sheetView showGridLines="0" tabSelected="1" topLeftCell="D1" zoomScale="95" zoomScaleNormal="95" workbookViewId="0">
      <selection activeCell="M4" sqref="M4"/>
    </sheetView>
  </sheetViews>
  <sheetFormatPr defaultColWidth="0" defaultRowHeight="15" zeroHeight="1" x14ac:dyDescent="0.25"/>
  <cols>
    <col min="1" max="1" width="1.7109375" style="38" customWidth="1"/>
    <col min="2" max="2" width="9" style="38" customWidth="1"/>
    <col min="3" max="3" width="6.28515625" style="38" customWidth="1"/>
    <col min="4" max="5" width="16.7109375" style="38" customWidth="1"/>
    <col min="6" max="6" width="16.7109375" style="38" hidden="1" customWidth="1"/>
    <col min="7" max="7" width="16.7109375" style="38" customWidth="1"/>
    <col min="8" max="8" width="18.28515625" style="38" customWidth="1"/>
    <col min="9" max="9" width="20.42578125" style="38" customWidth="1"/>
    <col min="10" max="10" width="16.7109375" style="38" customWidth="1"/>
    <col min="11" max="11" width="11.140625" style="38" bestFit="1" customWidth="1"/>
    <col min="12" max="12" width="11" style="38" customWidth="1"/>
    <col min="13" max="13" width="13.5703125" style="38" customWidth="1"/>
    <col min="14" max="14" width="12.85546875" style="38" customWidth="1"/>
    <col min="15" max="15" width="19.5703125" style="38" bestFit="1" customWidth="1"/>
    <col min="16" max="16" width="1.7109375" style="38" customWidth="1"/>
    <col min="17" max="16384" width="9.140625" style="38" hidden="1"/>
  </cols>
  <sheetData>
    <row r="1" spans="2:15" ht="5.0999999999999996" customHeight="1" thickBot="1" x14ac:dyDescent="0.3"/>
    <row r="2" spans="2:15" ht="66" customHeight="1" thickBot="1" x14ac:dyDescent="0.3">
      <c r="B2" s="88"/>
      <c r="C2" s="117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90"/>
    </row>
    <row r="3" spans="2:15" ht="5.0999999999999996" customHeight="1" thickBot="1" x14ac:dyDescent="0.3">
      <c r="B3" s="69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1"/>
    </row>
    <row r="4" spans="2:15" ht="47.25" customHeight="1" thickBot="1" x14ac:dyDescent="0.3">
      <c r="B4" s="72"/>
      <c r="C4" s="73"/>
      <c r="D4" s="81" t="s">
        <v>25</v>
      </c>
      <c r="E4" s="85">
        <v>40</v>
      </c>
      <c r="F4" s="73"/>
      <c r="G4" s="75">
        <f ca="1">TODAY()</f>
        <v>45348</v>
      </c>
      <c r="H4" s="82" t="s">
        <v>26</v>
      </c>
      <c r="I4" s="118">
        <v>36526</v>
      </c>
      <c r="J4" s="87">
        <f ca="1">IF(I4=0,0,(G4-I4)/365.25)</f>
        <v>24.153319644079399</v>
      </c>
      <c r="K4" s="73"/>
      <c r="L4" s="82" t="s">
        <v>52</v>
      </c>
      <c r="M4" s="167" t="s">
        <v>53</v>
      </c>
      <c r="N4" s="73"/>
      <c r="O4" s="74"/>
    </row>
    <row r="5" spans="2:15" ht="5.0999999999999996" customHeight="1" thickBot="1" x14ac:dyDescent="0.3">
      <c r="B5" s="76"/>
      <c r="C5" s="77"/>
      <c r="D5" s="78"/>
      <c r="E5" s="79"/>
      <c r="F5" s="77"/>
      <c r="G5" s="77"/>
      <c r="H5" s="77"/>
      <c r="I5" s="77"/>
      <c r="J5" s="77"/>
      <c r="K5" s="77"/>
      <c r="L5" s="77"/>
      <c r="M5" s="77"/>
      <c r="N5" s="77"/>
      <c r="O5" s="80"/>
    </row>
    <row r="6" spans="2:15" ht="43.5" customHeight="1" x14ac:dyDescent="0.25">
      <c r="B6" s="113" t="s">
        <v>4</v>
      </c>
      <c r="C6" s="115" t="s">
        <v>0</v>
      </c>
      <c r="D6" s="115" t="s">
        <v>19</v>
      </c>
      <c r="E6" s="86" t="s">
        <v>22</v>
      </c>
      <c r="F6" s="115" t="s">
        <v>28</v>
      </c>
      <c r="G6" s="86" t="s">
        <v>23</v>
      </c>
      <c r="H6" s="86" t="s">
        <v>24</v>
      </c>
      <c r="I6" s="86" t="s">
        <v>30</v>
      </c>
      <c r="J6" s="86" t="s">
        <v>21</v>
      </c>
      <c r="K6" s="109" t="s">
        <v>34</v>
      </c>
      <c r="L6" s="109" t="s">
        <v>35</v>
      </c>
      <c r="M6" s="109" t="s">
        <v>8</v>
      </c>
      <c r="N6" s="109" t="s">
        <v>9</v>
      </c>
      <c r="O6" s="111" t="s">
        <v>20</v>
      </c>
    </row>
    <row r="7" spans="2:15" ht="34.5" customHeight="1" thickBot="1" x14ac:dyDescent="0.3">
      <c r="B7" s="114"/>
      <c r="C7" s="116" t="s">
        <v>0</v>
      </c>
      <c r="D7" s="116" t="s">
        <v>5</v>
      </c>
      <c r="E7" s="83">
        <f>+'CONTRIBUIÇÃO NORMAL'!D11</f>
        <v>0.2</v>
      </c>
      <c r="F7" s="116"/>
      <c r="G7" s="83">
        <f>+G8/D8</f>
        <v>0.1124321923076923</v>
      </c>
      <c r="H7" s="84">
        <v>0</v>
      </c>
      <c r="I7" s="84">
        <v>0</v>
      </c>
      <c r="J7" s="83">
        <f>+J8/D8</f>
        <v>0.31243219230769226</v>
      </c>
      <c r="K7" s="110"/>
      <c r="L7" s="110"/>
      <c r="M7" s="110"/>
      <c r="N7" s="110"/>
      <c r="O7" s="112"/>
    </row>
    <row r="8" spans="2:15" ht="20.100000000000001" customHeight="1" thickBot="1" x14ac:dyDescent="0.3">
      <c r="B8" s="39">
        <v>1</v>
      </c>
      <c r="C8" s="56">
        <f ca="1">TODAY()</f>
        <v>45348</v>
      </c>
      <c r="D8" s="57">
        <v>7800</v>
      </c>
      <c r="E8" s="41">
        <f>+'CONTRIBUIÇÃO NORMAL'!E11</f>
        <v>1560</v>
      </c>
      <c r="F8" s="41">
        <v>854.14840000000004</v>
      </c>
      <c r="G8" s="41">
        <f>+'CONTRIBUIÇÃO NORMAL'!E9</f>
        <v>876.97109999999998</v>
      </c>
      <c r="H8" s="41">
        <f>+D8*$H$7</f>
        <v>0</v>
      </c>
      <c r="I8" s="41">
        <f>+D8*$I$7</f>
        <v>0</v>
      </c>
      <c r="J8" s="42">
        <f>+E8+G8+H8+I8</f>
        <v>2436.9710999999998</v>
      </c>
      <c r="K8" s="58">
        <f>2.5%-0.25%</f>
        <v>2.2500000000000003E-2</v>
      </c>
      <c r="L8" s="58">
        <v>1.7600000000000001E-2</v>
      </c>
      <c r="M8" s="43">
        <f>+K8-L8</f>
        <v>4.9000000000000016E-3</v>
      </c>
      <c r="N8" s="43">
        <f t="shared" ref="N8" si="0">((M8+1)^(1/12))-1</f>
        <v>4.074191453755649E-4</v>
      </c>
      <c r="O8" s="44">
        <f t="shared" ref="O8" si="1">FV(N8,12,-J8,0)</f>
        <v>29309.271607724011</v>
      </c>
    </row>
    <row r="9" spans="2:15" ht="20.100000000000001" customHeight="1" thickBot="1" x14ac:dyDescent="0.3">
      <c r="B9" s="45">
        <f>IFERROR(IF(B8+1&gt;$E$4," ",(B8+1))," ")</f>
        <v>2</v>
      </c>
      <c r="C9" s="40">
        <f ca="1">IF(B9=" "," ",EDATE(C8,12))</f>
        <v>45714</v>
      </c>
      <c r="D9" s="46">
        <f>IF(B9=" "," ",D8)</f>
        <v>7800</v>
      </c>
      <c r="E9" s="46">
        <f>IF(B9=" "," ",D9*$E$7)</f>
        <v>1560</v>
      </c>
      <c r="F9" s="46">
        <f>IF(B9=" "," ",F8)</f>
        <v>854.14840000000004</v>
      </c>
      <c r="G9" s="46">
        <f>IF(B9=" "," ",G8)</f>
        <v>876.97109999999998</v>
      </c>
      <c r="H9" s="46">
        <f>IF(B9=" "," ",D9*$H$7)</f>
        <v>0</v>
      </c>
      <c r="I9" s="46">
        <f>IF(B9=" "," ",D9*$I$7)</f>
        <v>0</v>
      </c>
      <c r="J9" s="47">
        <f>IF(B9=" "," ",+E9+G9+H9+I9)</f>
        <v>2436.9710999999998</v>
      </c>
      <c r="K9" s="48">
        <f>IF(B9=" ",0,+K8)</f>
        <v>2.2500000000000003E-2</v>
      </c>
      <c r="L9" s="48">
        <f>IF(B9=" ",0,+L8)</f>
        <v>1.7600000000000001E-2</v>
      </c>
      <c r="M9" s="48">
        <f>IF(B9=" ",0,+K9-L9)</f>
        <v>4.9000000000000016E-3</v>
      </c>
      <c r="N9" s="48">
        <f>IF(B9=" "," ",(((M9+1)^(1/12))-1))</f>
        <v>4.074191453755649E-4</v>
      </c>
      <c r="O9" s="49">
        <f>IF(B9=" "," ",FV(N9,12,-J9,-O8))</f>
        <v>58762.158646325857</v>
      </c>
    </row>
    <row r="10" spans="2:15" ht="20.100000000000001" customHeight="1" thickBot="1" x14ac:dyDescent="0.3">
      <c r="B10" s="45">
        <f t="shared" ref="B10:B52" si="2">IFERROR(IF(B9+1&gt;$E$4," ",(B9+1))," ")</f>
        <v>3</v>
      </c>
      <c r="C10" s="40">
        <f t="shared" ref="C10:C52" ca="1" si="3">IF(B10=" "," ",EDATE(C9,12))</f>
        <v>46079</v>
      </c>
      <c r="D10" s="46">
        <f t="shared" ref="D10:D52" si="4">IF(B10=" "," ",D9)</f>
        <v>7800</v>
      </c>
      <c r="E10" s="46">
        <f t="shared" ref="E10:E52" si="5">IF(B10=" "," ",D10*$E$7)</f>
        <v>1560</v>
      </c>
      <c r="F10" s="46">
        <f t="shared" ref="F10:F52" si="6">IF(B10=" "," ",F9)</f>
        <v>854.14840000000004</v>
      </c>
      <c r="G10" s="46">
        <f t="shared" ref="G10:G52" si="7">IF(B10=" "," ",G9)</f>
        <v>876.97109999999998</v>
      </c>
      <c r="H10" s="46">
        <f t="shared" ref="H10:H52" si="8">IF(B10=" "," ",D10*$H$7)</f>
        <v>0</v>
      </c>
      <c r="I10" s="46">
        <f t="shared" ref="I10:I52" si="9">IF(B10=" "," ",D10*$I$7)</f>
        <v>0</v>
      </c>
      <c r="J10" s="47">
        <f t="shared" ref="J10:J52" si="10">IF(B10=" "," ",+E10+G10+H10+I10)</f>
        <v>2436.9710999999998</v>
      </c>
      <c r="K10" s="48">
        <f t="shared" ref="K10:K52" si="11">IF(B10=" ",0,+K9)</f>
        <v>2.2500000000000003E-2</v>
      </c>
      <c r="L10" s="48">
        <f t="shared" ref="L10:L52" si="12">IF(B10=" ",0,+L9)</f>
        <v>1.7600000000000001E-2</v>
      </c>
      <c r="M10" s="48">
        <f t="shared" ref="M10:M52" si="13">IF(B10=" ",0,+K10-L10)</f>
        <v>4.9000000000000016E-3</v>
      </c>
      <c r="N10" s="48">
        <f t="shared" ref="N10:N52" si="14">IF(B10=" "," ",(((M10+1)^(1/12))-1))</f>
        <v>4.074191453755649E-4</v>
      </c>
      <c r="O10" s="49">
        <f t="shared" ref="O10:O52" si="15">IF(B10=" "," ",FV(N10,12,-J10,-O9))</f>
        <v>88359.364831416839</v>
      </c>
    </row>
    <row r="11" spans="2:15" ht="20.100000000000001" customHeight="1" thickBot="1" x14ac:dyDescent="0.3">
      <c r="B11" s="45">
        <f t="shared" si="2"/>
        <v>4</v>
      </c>
      <c r="C11" s="40">
        <f t="shared" ca="1" si="3"/>
        <v>46444</v>
      </c>
      <c r="D11" s="46">
        <f t="shared" si="4"/>
        <v>7800</v>
      </c>
      <c r="E11" s="46">
        <f t="shared" si="5"/>
        <v>1560</v>
      </c>
      <c r="F11" s="46">
        <f t="shared" si="6"/>
        <v>854.14840000000004</v>
      </c>
      <c r="G11" s="46">
        <f t="shared" si="7"/>
        <v>876.97109999999998</v>
      </c>
      <c r="H11" s="46">
        <f t="shared" si="8"/>
        <v>0</v>
      </c>
      <c r="I11" s="46">
        <f t="shared" si="9"/>
        <v>0</v>
      </c>
      <c r="J11" s="47">
        <f t="shared" si="10"/>
        <v>2436.9710999999998</v>
      </c>
      <c r="K11" s="48">
        <f t="shared" si="11"/>
        <v>2.2500000000000003E-2</v>
      </c>
      <c r="L11" s="48">
        <f t="shared" si="12"/>
        <v>1.7600000000000001E-2</v>
      </c>
      <c r="M11" s="48">
        <f t="shared" si="13"/>
        <v>4.9000000000000016E-3</v>
      </c>
      <c r="N11" s="48">
        <f t="shared" si="14"/>
        <v>4.074191453755649E-4</v>
      </c>
      <c r="O11" s="49">
        <f t="shared" si="15"/>
        <v>118101.59732681475</v>
      </c>
    </row>
    <row r="12" spans="2:15" ht="20.100000000000001" customHeight="1" thickBot="1" x14ac:dyDescent="0.3">
      <c r="B12" s="45">
        <f t="shared" si="2"/>
        <v>5</v>
      </c>
      <c r="C12" s="40">
        <f t="shared" ca="1" si="3"/>
        <v>46809</v>
      </c>
      <c r="D12" s="46">
        <f t="shared" si="4"/>
        <v>7800</v>
      </c>
      <c r="E12" s="46">
        <f t="shared" si="5"/>
        <v>1560</v>
      </c>
      <c r="F12" s="46">
        <f t="shared" si="6"/>
        <v>854.14840000000004</v>
      </c>
      <c r="G12" s="46">
        <f t="shared" si="7"/>
        <v>876.97109999999998</v>
      </c>
      <c r="H12" s="46">
        <f t="shared" si="8"/>
        <v>0</v>
      </c>
      <c r="I12" s="46">
        <f t="shared" si="9"/>
        <v>0</v>
      </c>
      <c r="J12" s="47">
        <f t="shared" si="10"/>
        <v>2436.9710999999998</v>
      </c>
      <c r="K12" s="48">
        <f t="shared" si="11"/>
        <v>2.2500000000000003E-2</v>
      </c>
      <c r="L12" s="48">
        <f t="shared" si="12"/>
        <v>1.7600000000000001E-2</v>
      </c>
      <c r="M12" s="48">
        <f t="shared" si="13"/>
        <v>4.9000000000000016E-3</v>
      </c>
      <c r="N12" s="48">
        <f t="shared" si="14"/>
        <v>4.074191453755649E-4</v>
      </c>
      <c r="O12" s="49">
        <f t="shared" si="15"/>
        <v>147989.5667614401</v>
      </c>
    </row>
    <row r="13" spans="2:15" ht="20.100000000000001" customHeight="1" thickBot="1" x14ac:dyDescent="0.3">
      <c r="B13" s="45">
        <f t="shared" si="2"/>
        <v>6</v>
      </c>
      <c r="C13" s="40">
        <f t="shared" ca="1" si="3"/>
        <v>47175</v>
      </c>
      <c r="D13" s="46">
        <f t="shared" si="4"/>
        <v>7800</v>
      </c>
      <c r="E13" s="46">
        <f t="shared" si="5"/>
        <v>1560</v>
      </c>
      <c r="F13" s="46">
        <f t="shared" si="6"/>
        <v>854.14840000000004</v>
      </c>
      <c r="G13" s="46">
        <f t="shared" si="7"/>
        <v>876.97109999999998</v>
      </c>
      <c r="H13" s="46">
        <f t="shared" si="8"/>
        <v>0</v>
      </c>
      <c r="I13" s="46">
        <f t="shared" si="9"/>
        <v>0</v>
      </c>
      <c r="J13" s="47">
        <f t="shared" si="10"/>
        <v>2436.9710999999998</v>
      </c>
      <c r="K13" s="48">
        <f t="shared" si="11"/>
        <v>2.2500000000000003E-2</v>
      </c>
      <c r="L13" s="48">
        <f t="shared" si="12"/>
        <v>1.7600000000000001E-2</v>
      </c>
      <c r="M13" s="48">
        <f t="shared" si="13"/>
        <v>4.9000000000000016E-3</v>
      </c>
      <c r="N13" s="48">
        <f t="shared" si="14"/>
        <v>4.074191453755649E-4</v>
      </c>
      <c r="O13" s="49">
        <f t="shared" si="15"/>
        <v>178023.98724629512</v>
      </c>
    </row>
    <row r="14" spans="2:15" ht="20.100000000000001" customHeight="1" thickBot="1" x14ac:dyDescent="0.3">
      <c r="B14" s="45">
        <f t="shared" si="2"/>
        <v>7</v>
      </c>
      <c r="C14" s="40">
        <f t="shared" ca="1" si="3"/>
        <v>47540</v>
      </c>
      <c r="D14" s="46">
        <f t="shared" si="4"/>
        <v>7800</v>
      </c>
      <c r="E14" s="46">
        <f t="shared" si="5"/>
        <v>1560</v>
      </c>
      <c r="F14" s="46">
        <f t="shared" si="6"/>
        <v>854.14840000000004</v>
      </c>
      <c r="G14" s="46">
        <f t="shared" si="7"/>
        <v>876.97109999999998</v>
      </c>
      <c r="H14" s="46">
        <f t="shared" si="8"/>
        <v>0</v>
      </c>
      <c r="I14" s="46">
        <f t="shared" si="9"/>
        <v>0</v>
      </c>
      <c r="J14" s="47">
        <f t="shared" si="10"/>
        <v>2436.9710999999998</v>
      </c>
      <c r="K14" s="48">
        <f t="shared" si="11"/>
        <v>2.2500000000000003E-2</v>
      </c>
      <c r="L14" s="48">
        <f t="shared" si="12"/>
        <v>1.7600000000000001E-2</v>
      </c>
      <c r="M14" s="48">
        <f t="shared" si="13"/>
        <v>4.9000000000000016E-3</v>
      </c>
      <c r="N14" s="48">
        <f t="shared" si="14"/>
        <v>4.074191453755649E-4</v>
      </c>
      <c r="O14" s="49">
        <f t="shared" si="15"/>
        <v>208205.57639152592</v>
      </c>
    </row>
    <row r="15" spans="2:15" ht="20.100000000000001" customHeight="1" thickBot="1" x14ac:dyDescent="0.3">
      <c r="B15" s="45">
        <f t="shared" si="2"/>
        <v>8</v>
      </c>
      <c r="C15" s="40">
        <f t="shared" ca="1" si="3"/>
        <v>47905</v>
      </c>
      <c r="D15" s="46">
        <f t="shared" si="4"/>
        <v>7800</v>
      </c>
      <c r="E15" s="46">
        <f t="shared" si="5"/>
        <v>1560</v>
      </c>
      <c r="F15" s="46">
        <f t="shared" si="6"/>
        <v>854.14840000000004</v>
      </c>
      <c r="G15" s="46">
        <f t="shared" si="7"/>
        <v>876.97109999999998</v>
      </c>
      <c r="H15" s="46">
        <f t="shared" si="8"/>
        <v>0</v>
      </c>
      <c r="I15" s="46">
        <f t="shared" si="9"/>
        <v>0</v>
      </c>
      <c r="J15" s="47">
        <f t="shared" si="10"/>
        <v>2436.9710999999998</v>
      </c>
      <c r="K15" s="48">
        <f t="shared" si="11"/>
        <v>2.2500000000000003E-2</v>
      </c>
      <c r="L15" s="48">
        <f t="shared" si="12"/>
        <v>1.7600000000000001E-2</v>
      </c>
      <c r="M15" s="48">
        <f t="shared" si="13"/>
        <v>4.9000000000000016E-3</v>
      </c>
      <c r="N15" s="48">
        <f t="shared" si="14"/>
        <v>4.074191453755649E-4</v>
      </c>
      <c r="O15" s="49">
        <f t="shared" si="15"/>
        <v>238535.05532356835</v>
      </c>
    </row>
    <row r="16" spans="2:15" ht="20.100000000000001" customHeight="1" thickBot="1" x14ac:dyDescent="0.3">
      <c r="B16" s="45">
        <f t="shared" si="2"/>
        <v>9</v>
      </c>
      <c r="C16" s="40">
        <f t="shared" ca="1" si="3"/>
        <v>48270</v>
      </c>
      <c r="D16" s="46">
        <f t="shared" si="4"/>
        <v>7800</v>
      </c>
      <c r="E16" s="46">
        <f t="shared" si="5"/>
        <v>1560</v>
      </c>
      <c r="F16" s="46">
        <f t="shared" si="6"/>
        <v>854.14840000000004</v>
      </c>
      <c r="G16" s="46">
        <f t="shared" si="7"/>
        <v>876.97109999999998</v>
      </c>
      <c r="H16" s="46">
        <f t="shared" si="8"/>
        <v>0</v>
      </c>
      <c r="I16" s="46">
        <f t="shared" si="9"/>
        <v>0</v>
      </c>
      <c r="J16" s="47">
        <f t="shared" si="10"/>
        <v>2436.9710999999998</v>
      </c>
      <c r="K16" s="48">
        <f t="shared" si="11"/>
        <v>2.2500000000000003E-2</v>
      </c>
      <c r="L16" s="48">
        <f t="shared" si="12"/>
        <v>1.7600000000000001E-2</v>
      </c>
      <c r="M16" s="48">
        <f t="shared" si="13"/>
        <v>4.9000000000000016E-3</v>
      </c>
      <c r="N16" s="48">
        <f t="shared" si="14"/>
        <v>4.074191453755649E-4</v>
      </c>
      <c r="O16" s="49">
        <f t="shared" si="15"/>
        <v>269013.14870237774</v>
      </c>
    </row>
    <row r="17" spans="2:15" ht="20.100000000000001" customHeight="1" thickBot="1" x14ac:dyDescent="0.3">
      <c r="B17" s="45">
        <f t="shared" si="2"/>
        <v>10</v>
      </c>
      <c r="C17" s="40">
        <f t="shared" ca="1" si="3"/>
        <v>48636</v>
      </c>
      <c r="D17" s="46">
        <f t="shared" si="4"/>
        <v>7800</v>
      </c>
      <c r="E17" s="46">
        <f t="shared" si="5"/>
        <v>1560</v>
      </c>
      <c r="F17" s="46">
        <f t="shared" si="6"/>
        <v>854.14840000000004</v>
      </c>
      <c r="G17" s="46">
        <f t="shared" si="7"/>
        <v>876.97109999999998</v>
      </c>
      <c r="H17" s="46">
        <f t="shared" si="8"/>
        <v>0</v>
      </c>
      <c r="I17" s="46">
        <f t="shared" si="9"/>
        <v>0</v>
      </c>
      <c r="J17" s="47">
        <f t="shared" si="10"/>
        <v>2436.9710999999998</v>
      </c>
      <c r="K17" s="48">
        <f t="shared" si="11"/>
        <v>2.2500000000000003E-2</v>
      </c>
      <c r="L17" s="48">
        <f t="shared" si="12"/>
        <v>1.7600000000000001E-2</v>
      </c>
      <c r="M17" s="48">
        <f t="shared" si="13"/>
        <v>4.9000000000000016E-3</v>
      </c>
      <c r="N17" s="48">
        <f t="shared" si="14"/>
        <v>4.074191453755649E-4</v>
      </c>
      <c r="O17" s="49">
        <f t="shared" si="15"/>
        <v>299640.58473874332</v>
      </c>
    </row>
    <row r="18" spans="2:15" ht="20.100000000000001" customHeight="1" thickBot="1" x14ac:dyDescent="0.3">
      <c r="B18" s="45">
        <f t="shared" si="2"/>
        <v>11</v>
      </c>
      <c r="C18" s="40">
        <f t="shared" ca="1" si="3"/>
        <v>49001</v>
      </c>
      <c r="D18" s="46">
        <f t="shared" si="4"/>
        <v>7800</v>
      </c>
      <c r="E18" s="46">
        <f t="shared" si="5"/>
        <v>1560</v>
      </c>
      <c r="F18" s="46">
        <f t="shared" si="6"/>
        <v>854.14840000000004</v>
      </c>
      <c r="G18" s="46">
        <f t="shared" si="7"/>
        <v>876.97109999999998</v>
      </c>
      <c r="H18" s="46">
        <f t="shared" si="8"/>
        <v>0</v>
      </c>
      <c r="I18" s="46">
        <f t="shared" si="9"/>
        <v>0</v>
      </c>
      <c r="J18" s="47">
        <f t="shared" si="10"/>
        <v>2436.9710999999998</v>
      </c>
      <c r="K18" s="48">
        <f t="shared" si="11"/>
        <v>2.2500000000000003E-2</v>
      </c>
      <c r="L18" s="48">
        <f t="shared" si="12"/>
        <v>1.7600000000000001E-2</v>
      </c>
      <c r="M18" s="48">
        <f t="shared" si="13"/>
        <v>4.9000000000000016E-3</v>
      </c>
      <c r="N18" s="48">
        <f t="shared" si="14"/>
        <v>4.074191453755649E-4</v>
      </c>
      <c r="O18" s="49">
        <f t="shared" si="15"/>
        <v>330418.09521168709</v>
      </c>
    </row>
    <row r="19" spans="2:15" ht="20.100000000000001" customHeight="1" thickBot="1" x14ac:dyDescent="0.3">
      <c r="B19" s="45">
        <f t="shared" si="2"/>
        <v>12</v>
      </c>
      <c r="C19" s="40">
        <f t="shared" ca="1" si="3"/>
        <v>49366</v>
      </c>
      <c r="D19" s="46">
        <f t="shared" si="4"/>
        <v>7800</v>
      </c>
      <c r="E19" s="46">
        <f t="shared" si="5"/>
        <v>1560</v>
      </c>
      <c r="F19" s="46">
        <f t="shared" si="6"/>
        <v>854.14840000000004</v>
      </c>
      <c r="G19" s="46">
        <f t="shared" si="7"/>
        <v>876.97109999999998</v>
      </c>
      <c r="H19" s="46">
        <f t="shared" si="8"/>
        <v>0</v>
      </c>
      <c r="I19" s="46">
        <f t="shared" si="9"/>
        <v>0</v>
      </c>
      <c r="J19" s="47">
        <f t="shared" si="10"/>
        <v>2436.9710999999998</v>
      </c>
      <c r="K19" s="48">
        <f t="shared" si="11"/>
        <v>2.2500000000000003E-2</v>
      </c>
      <c r="L19" s="48">
        <f t="shared" si="12"/>
        <v>1.7600000000000001E-2</v>
      </c>
      <c r="M19" s="48">
        <f t="shared" si="13"/>
        <v>4.9000000000000016E-3</v>
      </c>
      <c r="N19" s="48">
        <f t="shared" si="14"/>
        <v>4.074191453755649E-4</v>
      </c>
      <c r="O19" s="49">
        <f t="shared" si="15"/>
        <v>361346.41548594827</v>
      </c>
    </row>
    <row r="20" spans="2:15" ht="20.100000000000001" customHeight="1" thickBot="1" x14ac:dyDescent="0.3">
      <c r="B20" s="45">
        <f t="shared" si="2"/>
        <v>13</v>
      </c>
      <c r="C20" s="40">
        <f t="shared" ca="1" si="3"/>
        <v>49731</v>
      </c>
      <c r="D20" s="46">
        <f t="shared" si="4"/>
        <v>7800</v>
      </c>
      <c r="E20" s="46">
        <f t="shared" si="5"/>
        <v>1560</v>
      </c>
      <c r="F20" s="46">
        <f t="shared" si="6"/>
        <v>854.14840000000004</v>
      </c>
      <c r="G20" s="46">
        <f t="shared" si="7"/>
        <v>876.97109999999998</v>
      </c>
      <c r="H20" s="46">
        <f t="shared" si="8"/>
        <v>0</v>
      </c>
      <c r="I20" s="46">
        <f t="shared" si="9"/>
        <v>0</v>
      </c>
      <c r="J20" s="47">
        <f t="shared" si="10"/>
        <v>2436.9710999999998</v>
      </c>
      <c r="K20" s="48">
        <f t="shared" si="11"/>
        <v>2.2500000000000003E-2</v>
      </c>
      <c r="L20" s="48">
        <f t="shared" si="12"/>
        <v>1.7600000000000001E-2</v>
      </c>
      <c r="M20" s="48">
        <f t="shared" si="13"/>
        <v>4.9000000000000016E-3</v>
      </c>
      <c r="N20" s="48">
        <f t="shared" si="14"/>
        <v>4.074191453755649E-4</v>
      </c>
      <c r="O20" s="49">
        <f t="shared" si="15"/>
        <v>392426.28452955332</v>
      </c>
    </row>
    <row r="21" spans="2:15" ht="20.100000000000001" customHeight="1" thickBot="1" x14ac:dyDescent="0.3">
      <c r="B21" s="45">
        <f t="shared" si="2"/>
        <v>14</v>
      </c>
      <c r="C21" s="40">
        <f t="shared" ca="1" si="3"/>
        <v>50097</v>
      </c>
      <c r="D21" s="46">
        <f t="shared" si="4"/>
        <v>7800</v>
      </c>
      <c r="E21" s="46">
        <f t="shared" si="5"/>
        <v>1560</v>
      </c>
      <c r="F21" s="46">
        <f t="shared" si="6"/>
        <v>854.14840000000004</v>
      </c>
      <c r="G21" s="46">
        <f t="shared" si="7"/>
        <v>876.97109999999998</v>
      </c>
      <c r="H21" s="46">
        <f t="shared" si="8"/>
        <v>0</v>
      </c>
      <c r="I21" s="46">
        <f t="shared" si="9"/>
        <v>0</v>
      </c>
      <c r="J21" s="47">
        <f t="shared" si="10"/>
        <v>2436.9710999999998</v>
      </c>
      <c r="K21" s="48">
        <f t="shared" si="11"/>
        <v>2.2500000000000003E-2</v>
      </c>
      <c r="L21" s="48">
        <f t="shared" si="12"/>
        <v>1.7600000000000001E-2</v>
      </c>
      <c r="M21" s="48">
        <f t="shared" si="13"/>
        <v>4.9000000000000016E-3</v>
      </c>
      <c r="N21" s="48">
        <f t="shared" si="14"/>
        <v>4.074191453755649E-4</v>
      </c>
      <c r="O21" s="49">
        <f t="shared" si="15"/>
        <v>423658.44493147201</v>
      </c>
    </row>
    <row r="22" spans="2:15" ht="20.100000000000001" customHeight="1" thickBot="1" x14ac:dyDescent="0.3">
      <c r="B22" s="45">
        <f t="shared" si="2"/>
        <v>15</v>
      </c>
      <c r="C22" s="40">
        <f t="shared" ca="1" si="3"/>
        <v>50462</v>
      </c>
      <c r="D22" s="46">
        <f t="shared" si="4"/>
        <v>7800</v>
      </c>
      <c r="E22" s="46">
        <f t="shared" si="5"/>
        <v>1560</v>
      </c>
      <c r="F22" s="46">
        <f t="shared" si="6"/>
        <v>854.14840000000004</v>
      </c>
      <c r="G22" s="46">
        <f t="shared" si="7"/>
        <v>876.97109999999998</v>
      </c>
      <c r="H22" s="46">
        <f t="shared" si="8"/>
        <v>0</v>
      </c>
      <c r="I22" s="46">
        <f t="shared" si="9"/>
        <v>0</v>
      </c>
      <c r="J22" s="47">
        <f t="shared" si="10"/>
        <v>2436.9710999999998</v>
      </c>
      <c r="K22" s="48">
        <f t="shared" si="11"/>
        <v>2.2500000000000003E-2</v>
      </c>
      <c r="L22" s="48">
        <f t="shared" si="12"/>
        <v>1.7600000000000001E-2</v>
      </c>
      <c r="M22" s="48">
        <f t="shared" si="13"/>
        <v>4.9000000000000016E-3</v>
      </c>
      <c r="N22" s="48">
        <f t="shared" si="14"/>
        <v>4.074191453755649E-4</v>
      </c>
      <c r="O22" s="49">
        <f t="shared" si="15"/>
        <v>455043.64291936014</v>
      </c>
    </row>
    <row r="23" spans="2:15" ht="20.100000000000001" customHeight="1" thickBot="1" x14ac:dyDescent="0.3">
      <c r="B23" s="45">
        <f t="shared" si="2"/>
        <v>16</v>
      </c>
      <c r="C23" s="40">
        <f t="shared" ca="1" si="3"/>
        <v>50827</v>
      </c>
      <c r="D23" s="46">
        <f t="shared" si="4"/>
        <v>7800</v>
      </c>
      <c r="E23" s="46">
        <f t="shared" si="5"/>
        <v>1560</v>
      </c>
      <c r="F23" s="46">
        <f t="shared" si="6"/>
        <v>854.14840000000004</v>
      </c>
      <c r="G23" s="46">
        <f t="shared" si="7"/>
        <v>876.97109999999998</v>
      </c>
      <c r="H23" s="46">
        <f t="shared" si="8"/>
        <v>0</v>
      </c>
      <c r="I23" s="46">
        <f t="shared" si="9"/>
        <v>0</v>
      </c>
      <c r="J23" s="47">
        <f t="shared" si="10"/>
        <v>2436.9710999999998</v>
      </c>
      <c r="K23" s="48">
        <f t="shared" si="11"/>
        <v>2.2500000000000003E-2</v>
      </c>
      <c r="L23" s="48">
        <f t="shared" si="12"/>
        <v>1.7600000000000001E-2</v>
      </c>
      <c r="M23" s="48">
        <f t="shared" si="13"/>
        <v>4.9000000000000016E-3</v>
      </c>
      <c r="N23" s="48">
        <f t="shared" si="14"/>
        <v>4.074191453755649E-4</v>
      </c>
      <c r="O23" s="49">
        <f t="shared" si="15"/>
        <v>486582.62837738887</v>
      </c>
    </row>
    <row r="24" spans="2:15" ht="20.100000000000001" customHeight="1" thickBot="1" x14ac:dyDescent="0.3">
      <c r="B24" s="45">
        <f t="shared" si="2"/>
        <v>17</v>
      </c>
      <c r="C24" s="40">
        <f t="shared" ca="1" si="3"/>
        <v>51192</v>
      </c>
      <c r="D24" s="46">
        <f t="shared" si="4"/>
        <v>7800</v>
      </c>
      <c r="E24" s="46">
        <f t="shared" si="5"/>
        <v>1560</v>
      </c>
      <c r="F24" s="46">
        <f t="shared" si="6"/>
        <v>854.14840000000004</v>
      </c>
      <c r="G24" s="46">
        <f t="shared" si="7"/>
        <v>876.97109999999998</v>
      </c>
      <c r="H24" s="46">
        <f t="shared" si="8"/>
        <v>0</v>
      </c>
      <c r="I24" s="46">
        <f t="shared" si="9"/>
        <v>0</v>
      </c>
      <c r="J24" s="47">
        <f t="shared" si="10"/>
        <v>2436.9710999999998</v>
      </c>
      <c r="K24" s="48">
        <f t="shared" si="11"/>
        <v>2.2500000000000003E-2</v>
      </c>
      <c r="L24" s="48">
        <f t="shared" si="12"/>
        <v>1.7600000000000001E-2</v>
      </c>
      <c r="M24" s="48">
        <f t="shared" si="13"/>
        <v>4.9000000000000016E-3</v>
      </c>
      <c r="N24" s="48">
        <f t="shared" si="14"/>
        <v>4.074191453755649E-4</v>
      </c>
      <c r="O24" s="49">
        <f t="shared" si="15"/>
        <v>518276.15486416192</v>
      </c>
    </row>
    <row r="25" spans="2:15" ht="20.100000000000001" customHeight="1" thickBot="1" x14ac:dyDescent="0.3">
      <c r="B25" s="45">
        <f t="shared" si="2"/>
        <v>18</v>
      </c>
      <c r="C25" s="40">
        <f t="shared" ca="1" si="3"/>
        <v>51558</v>
      </c>
      <c r="D25" s="46">
        <f t="shared" si="4"/>
        <v>7800</v>
      </c>
      <c r="E25" s="46">
        <f t="shared" si="5"/>
        <v>1560</v>
      </c>
      <c r="F25" s="46">
        <f t="shared" si="6"/>
        <v>854.14840000000004</v>
      </c>
      <c r="G25" s="46">
        <f t="shared" si="7"/>
        <v>876.97109999999998</v>
      </c>
      <c r="H25" s="46">
        <f t="shared" si="8"/>
        <v>0</v>
      </c>
      <c r="I25" s="46">
        <f t="shared" si="9"/>
        <v>0</v>
      </c>
      <c r="J25" s="47">
        <f t="shared" si="10"/>
        <v>2436.9710999999998</v>
      </c>
      <c r="K25" s="48">
        <f t="shared" si="11"/>
        <v>2.2500000000000003E-2</v>
      </c>
      <c r="L25" s="48">
        <f t="shared" si="12"/>
        <v>1.7600000000000001E-2</v>
      </c>
      <c r="M25" s="48">
        <f t="shared" si="13"/>
        <v>4.9000000000000016E-3</v>
      </c>
      <c r="N25" s="48">
        <f t="shared" si="14"/>
        <v>4.074191453755649E-4</v>
      </c>
      <c r="O25" s="49">
        <f t="shared" si="15"/>
        <v>550124.9796307201</v>
      </c>
    </row>
    <row r="26" spans="2:15" ht="20.100000000000001" customHeight="1" thickBot="1" x14ac:dyDescent="0.3">
      <c r="B26" s="45">
        <f t="shared" si="2"/>
        <v>19</v>
      </c>
      <c r="C26" s="40">
        <f t="shared" ca="1" si="3"/>
        <v>51923</v>
      </c>
      <c r="D26" s="46">
        <f t="shared" si="4"/>
        <v>7800</v>
      </c>
      <c r="E26" s="46">
        <f t="shared" si="5"/>
        <v>1560</v>
      </c>
      <c r="F26" s="46">
        <f t="shared" si="6"/>
        <v>854.14840000000004</v>
      </c>
      <c r="G26" s="46">
        <f t="shared" si="7"/>
        <v>876.97109999999998</v>
      </c>
      <c r="H26" s="46">
        <f t="shared" si="8"/>
        <v>0</v>
      </c>
      <c r="I26" s="46">
        <f t="shared" si="9"/>
        <v>0</v>
      </c>
      <c r="J26" s="47">
        <f t="shared" si="10"/>
        <v>2436.9710999999998</v>
      </c>
      <c r="K26" s="48">
        <f t="shared" si="11"/>
        <v>2.2500000000000003E-2</v>
      </c>
      <c r="L26" s="48">
        <f t="shared" si="12"/>
        <v>1.7600000000000001E-2</v>
      </c>
      <c r="M26" s="48">
        <f t="shared" si="13"/>
        <v>4.9000000000000016E-3</v>
      </c>
      <c r="N26" s="48">
        <f t="shared" si="14"/>
        <v>4.074191453755649E-4</v>
      </c>
      <c r="O26" s="49">
        <f t="shared" si="15"/>
        <v>582129.86363863444</v>
      </c>
    </row>
    <row r="27" spans="2:15" ht="20.100000000000001" customHeight="1" thickBot="1" x14ac:dyDescent="0.3">
      <c r="B27" s="45">
        <f t="shared" si="2"/>
        <v>20</v>
      </c>
      <c r="C27" s="40">
        <f t="shared" ca="1" si="3"/>
        <v>52288</v>
      </c>
      <c r="D27" s="46">
        <f t="shared" si="4"/>
        <v>7800</v>
      </c>
      <c r="E27" s="46">
        <f t="shared" si="5"/>
        <v>1560</v>
      </c>
      <c r="F27" s="46">
        <f t="shared" si="6"/>
        <v>854.14840000000004</v>
      </c>
      <c r="G27" s="46">
        <f t="shared" si="7"/>
        <v>876.97109999999998</v>
      </c>
      <c r="H27" s="46">
        <f t="shared" si="8"/>
        <v>0</v>
      </c>
      <c r="I27" s="46">
        <f t="shared" si="9"/>
        <v>0</v>
      </c>
      <c r="J27" s="47">
        <f t="shared" si="10"/>
        <v>2436.9710999999998</v>
      </c>
      <c r="K27" s="48">
        <f t="shared" si="11"/>
        <v>2.2500000000000003E-2</v>
      </c>
      <c r="L27" s="48">
        <f t="shared" si="12"/>
        <v>1.7600000000000001E-2</v>
      </c>
      <c r="M27" s="48">
        <f t="shared" si="13"/>
        <v>4.9000000000000016E-3</v>
      </c>
      <c r="N27" s="48">
        <f t="shared" si="14"/>
        <v>4.074191453755649E-4</v>
      </c>
      <c r="O27" s="49">
        <f t="shared" si="15"/>
        <v>614291.57157818764</v>
      </c>
    </row>
    <row r="28" spans="2:15" ht="20.100000000000001" customHeight="1" thickBot="1" x14ac:dyDescent="0.3">
      <c r="B28" s="45">
        <f t="shared" si="2"/>
        <v>21</v>
      </c>
      <c r="C28" s="40">
        <f t="shared" ca="1" si="3"/>
        <v>52653</v>
      </c>
      <c r="D28" s="46">
        <f t="shared" si="4"/>
        <v>7800</v>
      </c>
      <c r="E28" s="46">
        <f t="shared" si="5"/>
        <v>1560</v>
      </c>
      <c r="F28" s="46">
        <f t="shared" si="6"/>
        <v>854.14840000000004</v>
      </c>
      <c r="G28" s="46">
        <f t="shared" si="7"/>
        <v>876.97109999999998</v>
      </c>
      <c r="H28" s="46">
        <f t="shared" si="8"/>
        <v>0</v>
      </c>
      <c r="I28" s="46">
        <f t="shared" si="9"/>
        <v>0</v>
      </c>
      <c r="J28" s="47">
        <f t="shared" si="10"/>
        <v>2436.9710999999998</v>
      </c>
      <c r="K28" s="48">
        <f t="shared" si="11"/>
        <v>2.2500000000000003E-2</v>
      </c>
      <c r="L28" s="48">
        <f t="shared" si="12"/>
        <v>1.7600000000000001E-2</v>
      </c>
      <c r="M28" s="48">
        <f t="shared" si="13"/>
        <v>4.9000000000000016E-3</v>
      </c>
      <c r="N28" s="48">
        <f t="shared" si="14"/>
        <v>4.074191453755649E-4</v>
      </c>
      <c r="O28" s="49">
        <f t="shared" si="15"/>
        <v>646610.87188664463</v>
      </c>
    </row>
    <row r="29" spans="2:15" ht="20.100000000000001" customHeight="1" thickBot="1" x14ac:dyDescent="0.3">
      <c r="B29" s="45">
        <f t="shared" si="2"/>
        <v>22</v>
      </c>
      <c r="C29" s="40">
        <f t="shared" ca="1" si="3"/>
        <v>53019</v>
      </c>
      <c r="D29" s="46">
        <f t="shared" si="4"/>
        <v>7800</v>
      </c>
      <c r="E29" s="46">
        <f t="shared" si="5"/>
        <v>1560</v>
      </c>
      <c r="F29" s="46">
        <f t="shared" si="6"/>
        <v>854.14840000000004</v>
      </c>
      <c r="G29" s="46">
        <f t="shared" si="7"/>
        <v>876.97109999999998</v>
      </c>
      <c r="H29" s="46">
        <f t="shared" si="8"/>
        <v>0</v>
      </c>
      <c r="I29" s="46">
        <f t="shared" si="9"/>
        <v>0</v>
      </c>
      <c r="J29" s="47">
        <f t="shared" si="10"/>
        <v>2436.9710999999998</v>
      </c>
      <c r="K29" s="48">
        <f t="shared" si="11"/>
        <v>2.2500000000000003E-2</v>
      </c>
      <c r="L29" s="48">
        <f t="shared" si="12"/>
        <v>1.7600000000000001E-2</v>
      </c>
      <c r="M29" s="48">
        <f t="shared" si="13"/>
        <v>4.9000000000000016E-3</v>
      </c>
      <c r="N29" s="48">
        <f t="shared" si="14"/>
        <v>4.074191453755649E-4</v>
      </c>
      <c r="O29" s="49">
        <f t="shared" si="15"/>
        <v>679088.53676661302</v>
      </c>
    </row>
    <row r="30" spans="2:15" ht="20.100000000000001" customHeight="1" thickBot="1" x14ac:dyDescent="0.3">
      <c r="B30" s="45">
        <f t="shared" si="2"/>
        <v>23</v>
      </c>
      <c r="C30" s="40">
        <f t="shared" ca="1" si="3"/>
        <v>53384</v>
      </c>
      <c r="D30" s="46">
        <f t="shared" si="4"/>
        <v>7800</v>
      </c>
      <c r="E30" s="46">
        <f t="shared" si="5"/>
        <v>1560</v>
      </c>
      <c r="F30" s="46">
        <f t="shared" si="6"/>
        <v>854.14840000000004</v>
      </c>
      <c r="G30" s="46">
        <f t="shared" si="7"/>
        <v>876.97109999999998</v>
      </c>
      <c r="H30" s="46">
        <f t="shared" si="8"/>
        <v>0</v>
      </c>
      <c r="I30" s="46">
        <f t="shared" si="9"/>
        <v>0</v>
      </c>
      <c r="J30" s="47">
        <f t="shared" si="10"/>
        <v>2436.9710999999998</v>
      </c>
      <c r="K30" s="48">
        <f t="shared" si="11"/>
        <v>2.2500000000000003E-2</v>
      </c>
      <c r="L30" s="48">
        <f t="shared" si="12"/>
        <v>1.7600000000000001E-2</v>
      </c>
      <c r="M30" s="48">
        <f t="shared" si="13"/>
        <v>4.9000000000000016E-3</v>
      </c>
      <c r="N30" s="48">
        <f t="shared" si="14"/>
        <v>4.074191453755649E-4</v>
      </c>
      <c r="O30" s="49">
        <f t="shared" si="15"/>
        <v>711725.34220449324</v>
      </c>
    </row>
    <row r="31" spans="2:15" ht="20.100000000000001" customHeight="1" thickBot="1" x14ac:dyDescent="0.3">
      <c r="B31" s="45">
        <f t="shared" si="2"/>
        <v>24</v>
      </c>
      <c r="C31" s="40">
        <f t="shared" ca="1" si="3"/>
        <v>53749</v>
      </c>
      <c r="D31" s="46">
        <f t="shared" si="4"/>
        <v>7800</v>
      </c>
      <c r="E31" s="46">
        <f t="shared" si="5"/>
        <v>1560</v>
      </c>
      <c r="F31" s="46">
        <f t="shared" si="6"/>
        <v>854.14840000000004</v>
      </c>
      <c r="G31" s="46">
        <f t="shared" si="7"/>
        <v>876.97109999999998</v>
      </c>
      <c r="H31" s="46">
        <f t="shared" si="8"/>
        <v>0</v>
      </c>
      <c r="I31" s="46">
        <f t="shared" si="9"/>
        <v>0</v>
      </c>
      <c r="J31" s="47">
        <f t="shared" si="10"/>
        <v>2436.9710999999998</v>
      </c>
      <c r="K31" s="48">
        <f t="shared" si="11"/>
        <v>2.2500000000000003E-2</v>
      </c>
      <c r="L31" s="48">
        <f t="shared" si="12"/>
        <v>1.7600000000000001E-2</v>
      </c>
      <c r="M31" s="48">
        <f t="shared" si="13"/>
        <v>4.9000000000000016E-3</v>
      </c>
      <c r="N31" s="48">
        <f t="shared" si="14"/>
        <v>4.074191453755649E-4</v>
      </c>
      <c r="O31" s="49">
        <f t="shared" si="15"/>
        <v>744522.06798901909</v>
      </c>
    </row>
    <row r="32" spans="2:15" ht="20.100000000000001" customHeight="1" thickBot="1" x14ac:dyDescent="0.3">
      <c r="B32" s="45">
        <f t="shared" si="2"/>
        <v>25</v>
      </c>
      <c r="C32" s="40">
        <f t="shared" ca="1" si="3"/>
        <v>54114</v>
      </c>
      <c r="D32" s="46">
        <f t="shared" si="4"/>
        <v>7800</v>
      </c>
      <c r="E32" s="46">
        <f t="shared" si="5"/>
        <v>1560</v>
      </c>
      <c r="F32" s="46">
        <f t="shared" si="6"/>
        <v>854.14840000000004</v>
      </c>
      <c r="G32" s="46">
        <f t="shared" si="7"/>
        <v>876.97109999999998</v>
      </c>
      <c r="H32" s="46">
        <f t="shared" si="8"/>
        <v>0</v>
      </c>
      <c r="I32" s="46">
        <f t="shared" si="9"/>
        <v>0</v>
      </c>
      <c r="J32" s="47">
        <f t="shared" si="10"/>
        <v>2436.9710999999998</v>
      </c>
      <c r="K32" s="48">
        <f t="shared" si="11"/>
        <v>2.2500000000000003E-2</v>
      </c>
      <c r="L32" s="48">
        <f t="shared" si="12"/>
        <v>1.7600000000000001E-2</v>
      </c>
      <c r="M32" s="48">
        <f t="shared" si="13"/>
        <v>4.9000000000000016E-3</v>
      </c>
      <c r="N32" s="48">
        <f t="shared" si="14"/>
        <v>4.074191453755649E-4</v>
      </c>
      <c r="O32" s="49">
        <f t="shared" si="15"/>
        <v>777479.49772988912</v>
      </c>
    </row>
    <row r="33" spans="2:15" ht="20.100000000000001" customHeight="1" thickBot="1" x14ac:dyDescent="0.3">
      <c r="B33" s="45">
        <f t="shared" si="2"/>
        <v>26</v>
      </c>
      <c r="C33" s="40">
        <f t="shared" ca="1" si="3"/>
        <v>54480</v>
      </c>
      <c r="D33" s="46">
        <f t="shared" si="4"/>
        <v>7800</v>
      </c>
      <c r="E33" s="46">
        <f t="shared" si="5"/>
        <v>1560</v>
      </c>
      <c r="F33" s="46">
        <f t="shared" si="6"/>
        <v>854.14840000000004</v>
      </c>
      <c r="G33" s="46">
        <f t="shared" si="7"/>
        <v>876.97109999999998</v>
      </c>
      <c r="H33" s="46">
        <f t="shared" si="8"/>
        <v>0</v>
      </c>
      <c r="I33" s="46">
        <f t="shared" si="9"/>
        <v>0</v>
      </c>
      <c r="J33" s="47">
        <f t="shared" si="10"/>
        <v>2436.9710999999998</v>
      </c>
      <c r="K33" s="48">
        <f t="shared" si="11"/>
        <v>2.2500000000000003E-2</v>
      </c>
      <c r="L33" s="48">
        <f t="shared" si="12"/>
        <v>1.7600000000000001E-2</v>
      </c>
      <c r="M33" s="48">
        <f t="shared" si="13"/>
        <v>4.9000000000000016E-3</v>
      </c>
      <c r="N33" s="48">
        <f t="shared" si="14"/>
        <v>4.074191453755649E-4</v>
      </c>
      <c r="O33" s="49">
        <f t="shared" si="15"/>
        <v>810598.41887648939</v>
      </c>
    </row>
    <row r="34" spans="2:15" ht="20.100000000000001" customHeight="1" thickBot="1" x14ac:dyDescent="0.3">
      <c r="B34" s="45">
        <f t="shared" si="2"/>
        <v>27</v>
      </c>
      <c r="C34" s="40">
        <f t="shared" ca="1" si="3"/>
        <v>54845</v>
      </c>
      <c r="D34" s="46">
        <f t="shared" si="4"/>
        <v>7800</v>
      </c>
      <c r="E34" s="46">
        <f t="shared" si="5"/>
        <v>1560</v>
      </c>
      <c r="F34" s="46">
        <f t="shared" si="6"/>
        <v>854.14840000000004</v>
      </c>
      <c r="G34" s="46">
        <f t="shared" si="7"/>
        <v>876.97109999999998</v>
      </c>
      <c r="H34" s="46">
        <f t="shared" si="8"/>
        <v>0</v>
      </c>
      <c r="I34" s="46">
        <f t="shared" si="9"/>
        <v>0</v>
      </c>
      <c r="J34" s="47">
        <f t="shared" si="10"/>
        <v>2436.9710999999998</v>
      </c>
      <c r="K34" s="48">
        <f t="shared" si="11"/>
        <v>2.2500000000000003E-2</v>
      </c>
      <c r="L34" s="48">
        <f t="shared" si="12"/>
        <v>1.7600000000000001E-2</v>
      </c>
      <c r="M34" s="48">
        <f t="shared" si="13"/>
        <v>4.9000000000000016E-3</v>
      </c>
      <c r="N34" s="48">
        <f t="shared" si="14"/>
        <v>4.074191453755649E-4</v>
      </c>
      <c r="O34" s="49">
        <f t="shared" si="15"/>
        <v>843879.62273670791</v>
      </c>
    </row>
    <row r="35" spans="2:15" ht="20.100000000000001" customHeight="1" thickBot="1" x14ac:dyDescent="0.3">
      <c r="B35" s="45">
        <f t="shared" si="2"/>
        <v>28</v>
      </c>
      <c r="C35" s="40">
        <f t="shared" ca="1" si="3"/>
        <v>55210</v>
      </c>
      <c r="D35" s="46">
        <f t="shared" si="4"/>
        <v>7800</v>
      </c>
      <c r="E35" s="46">
        <f t="shared" si="5"/>
        <v>1560</v>
      </c>
      <c r="F35" s="46">
        <f t="shared" si="6"/>
        <v>854.14840000000004</v>
      </c>
      <c r="G35" s="46">
        <f t="shared" si="7"/>
        <v>876.97109999999998</v>
      </c>
      <c r="H35" s="46">
        <f t="shared" si="8"/>
        <v>0</v>
      </c>
      <c r="I35" s="46">
        <f t="shared" si="9"/>
        <v>0</v>
      </c>
      <c r="J35" s="47">
        <f t="shared" si="10"/>
        <v>2436.9710999999998</v>
      </c>
      <c r="K35" s="48">
        <f t="shared" si="11"/>
        <v>2.2500000000000003E-2</v>
      </c>
      <c r="L35" s="48">
        <f t="shared" si="12"/>
        <v>1.7600000000000001E-2</v>
      </c>
      <c r="M35" s="48">
        <f t="shared" si="13"/>
        <v>4.9000000000000016E-3</v>
      </c>
      <c r="N35" s="48">
        <f t="shared" si="14"/>
        <v>4.074191453755649E-4</v>
      </c>
      <c r="O35" s="49">
        <f t="shared" si="15"/>
        <v>877323.90449584147</v>
      </c>
    </row>
    <row r="36" spans="2:15" ht="20.100000000000001" customHeight="1" thickBot="1" x14ac:dyDescent="0.3">
      <c r="B36" s="45">
        <f t="shared" si="2"/>
        <v>29</v>
      </c>
      <c r="C36" s="40">
        <f t="shared" ca="1" si="3"/>
        <v>55575</v>
      </c>
      <c r="D36" s="46">
        <f t="shared" si="4"/>
        <v>7800</v>
      </c>
      <c r="E36" s="46">
        <f t="shared" si="5"/>
        <v>1560</v>
      </c>
      <c r="F36" s="46">
        <f t="shared" si="6"/>
        <v>854.14840000000004</v>
      </c>
      <c r="G36" s="46">
        <f t="shared" si="7"/>
        <v>876.97109999999998</v>
      </c>
      <c r="H36" s="46">
        <f t="shared" si="8"/>
        <v>0</v>
      </c>
      <c r="I36" s="46">
        <f t="shared" si="9"/>
        <v>0</v>
      </c>
      <c r="J36" s="47">
        <f t="shared" si="10"/>
        <v>2436.9710999999998</v>
      </c>
      <c r="K36" s="48">
        <f t="shared" si="11"/>
        <v>2.2500000000000003E-2</v>
      </c>
      <c r="L36" s="48">
        <f t="shared" si="12"/>
        <v>1.7600000000000001E-2</v>
      </c>
      <c r="M36" s="48">
        <f t="shared" si="13"/>
        <v>4.9000000000000016E-3</v>
      </c>
      <c r="N36" s="48">
        <f t="shared" si="14"/>
        <v>4.074191453755649E-4</v>
      </c>
      <c r="O36" s="49">
        <f t="shared" si="15"/>
        <v>910932.06323559489</v>
      </c>
    </row>
    <row r="37" spans="2:15" ht="20.100000000000001" customHeight="1" thickBot="1" x14ac:dyDescent="0.3">
      <c r="B37" s="45">
        <f t="shared" si="2"/>
        <v>30</v>
      </c>
      <c r="C37" s="40">
        <f t="shared" ca="1" si="3"/>
        <v>55941</v>
      </c>
      <c r="D37" s="46">
        <f t="shared" si="4"/>
        <v>7800</v>
      </c>
      <c r="E37" s="46">
        <f t="shared" si="5"/>
        <v>1560</v>
      </c>
      <c r="F37" s="46">
        <f t="shared" si="6"/>
        <v>854.14840000000004</v>
      </c>
      <c r="G37" s="46">
        <f t="shared" si="7"/>
        <v>876.97109999999998</v>
      </c>
      <c r="H37" s="46">
        <f t="shared" si="8"/>
        <v>0</v>
      </c>
      <c r="I37" s="46">
        <f t="shared" si="9"/>
        <v>0</v>
      </c>
      <c r="J37" s="47">
        <f t="shared" si="10"/>
        <v>2436.9710999999998</v>
      </c>
      <c r="K37" s="48">
        <f t="shared" si="11"/>
        <v>2.2500000000000003E-2</v>
      </c>
      <c r="L37" s="48">
        <f t="shared" si="12"/>
        <v>1.7600000000000001E-2</v>
      </c>
      <c r="M37" s="48">
        <f t="shared" si="13"/>
        <v>4.9000000000000016E-3</v>
      </c>
      <c r="N37" s="48">
        <f t="shared" si="14"/>
        <v>4.074191453755649E-4</v>
      </c>
      <c r="O37" s="49">
        <f t="shared" si="15"/>
        <v>944704.90195317299</v>
      </c>
    </row>
    <row r="38" spans="2:15" ht="20.100000000000001" customHeight="1" thickBot="1" x14ac:dyDescent="0.3">
      <c r="B38" s="45">
        <f t="shared" si="2"/>
        <v>31</v>
      </c>
      <c r="C38" s="40">
        <f t="shared" ca="1" si="3"/>
        <v>56306</v>
      </c>
      <c r="D38" s="46">
        <f t="shared" si="4"/>
        <v>7800</v>
      </c>
      <c r="E38" s="46">
        <f t="shared" si="5"/>
        <v>1560</v>
      </c>
      <c r="F38" s="46">
        <f t="shared" si="6"/>
        <v>854.14840000000004</v>
      </c>
      <c r="G38" s="46">
        <f t="shared" si="7"/>
        <v>876.97109999999998</v>
      </c>
      <c r="H38" s="46">
        <f t="shared" si="8"/>
        <v>0</v>
      </c>
      <c r="I38" s="46">
        <f t="shared" si="9"/>
        <v>0</v>
      </c>
      <c r="J38" s="47">
        <f t="shared" si="10"/>
        <v>2436.9710999999998</v>
      </c>
      <c r="K38" s="48">
        <f t="shared" si="11"/>
        <v>2.2500000000000003E-2</v>
      </c>
      <c r="L38" s="48">
        <f t="shared" si="12"/>
        <v>1.7600000000000001E-2</v>
      </c>
      <c r="M38" s="48">
        <f t="shared" si="13"/>
        <v>4.9000000000000016E-3</v>
      </c>
      <c r="N38" s="48">
        <f t="shared" si="14"/>
        <v>4.074191453755649E-4</v>
      </c>
      <c r="O38" s="49">
        <f t="shared" si="15"/>
        <v>978643.22758046724</v>
      </c>
    </row>
    <row r="39" spans="2:15" ht="20.100000000000001" customHeight="1" thickBot="1" x14ac:dyDescent="0.3">
      <c r="B39" s="45">
        <f t="shared" si="2"/>
        <v>32</v>
      </c>
      <c r="C39" s="40">
        <f t="shared" ca="1" si="3"/>
        <v>56671</v>
      </c>
      <c r="D39" s="46">
        <f t="shared" si="4"/>
        <v>7800</v>
      </c>
      <c r="E39" s="46">
        <f t="shared" si="5"/>
        <v>1560</v>
      </c>
      <c r="F39" s="46">
        <f t="shared" si="6"/>
        <v>854.14840000000004</v>
      </c>
      <c r="G39" s="46">
        <f t="shared" si="7"/>
        <v>876.97109999999998</v>
      </c>
      <c r="H39" s="46">
        <f t="shared" si="8"/>
        <v>0</v>
      </c>
      <c r="I39" s="46">
        <f t="shared" si="9"/>
        <v>0</v>
      </c>
      <c r="J39" s="47">
        <f t="shared" si="10"/>
        <v>2436.9710999999998</v>
      </c>
      <c r="K39" s="48">
        <f t="shared" si="11"/>
        <v>2.2500000000000003E-2</v>
      </c>
      <c r="L39" s="48">
        <f t="shared" si="12"/>
        <v>1.7600000000000001E-2</v>
      </c>
      <c r="M39" s="48">
        <f t="shared" si="13"/>
        <v>4.9000000000000016E-3</v>
      </c>
      <c r="N39" s="48">
        <f t="shared" si="14"/>
        <v>4.074191453755649E-4</v>
      </c>
      <c r="O39" s="49">
        <f t="shared" si="15"/>
        <v>1012747.8510033352</v>
      </c>
    </row>
    <row r="40" spans="2:15" ht="20.100000000000001" customHeight="1" thickBot="1" x14ac:dyDescent="0.3">
      <c r="B40" s="45">
        <f t="shared" si="2"/>
        <v>33</v>
      </c>
      <c r="C40" s="40">
        <f t="shared" ca="1" si="3"/>
        <v>57036</v>
      </c>
      <c r="D40" s="46">
        <f t="shared" si="4"/>
        <v>7800</v>
      </c>
      <c r="E40" s="46">
        <f t="shared" si="5"/>
        <v>1560</v>
      </c>
      <c r="F40" s="46">
        <f t="shared" si="6"/>
        <v>854.14840000000004</v>
      </c>
      <c r="G40" s="46">
        <f t="shared" si="7"/>
        <v>876.97109999999998</v>
      </c>
      <c r="H40" s="46">
        <f t="shared" si="8"/>
        <v>0</v>
      </c>
      <c r="I40" s="46">
        <f t="shared" si="9"/>
        <v>0</v>
      </c>
      <c r="J40" s="47">
        <f t="shared" si="10"/>
        <v>2436.9710999999998</v>
      </c>
      <c r="K40" s="48">
        <f t="shared" si="11"/>
        <v>2.2500000000000003E-2</v>
      </c>
      <c r="L40" s="48">
        <f t="shared" si="12"/>
        <v>1.7600000000000001E-2</v>
      </c>
      <c r="M40" s="48">
        <f t="shared" si="13"/>
        <v>4.9000000000000016E-3</v>
      </c>
      <c r="N40" s="48">
        <f t="shared" si="14"/>
        <v>4.074191453755649E-4</v>
      </c>
      <c r="O40" s="49">
        <f t="shared" si="15"/>
        <v>1047019.5870809753</v>
      </c>
    </row>
    <row r="41" spans="2:15" ht="20.100000000000001" customHeight="1" thickBot="1" x14ac:dyDescent="0.3">
      <c r="B41" s="45">
        <f t="shared" si="2"/>
        <v>34</v>
      </c>
      <c r="C41" s="40">
        <f t="shared" ca="1" si="3"/>
        <v>57402</v>
      </c>
      <c r="D41" s="46">
        <f t="shared" si="4"/>
        <v>7800</v>
      </c>
      <c r="E41" s="46">
        <f t="shared" si="5"/>
        <v>1560</v>
      </c>
      <c r="F41" s="46">
        <f t="shared" si="6"/>
        <v>854.14840000000004</v>
      </c>
      <c r="G41" s="46">
        <f t="shared" si="7"/>
        <v>876.97109999999998</v>
      </c>
      <c r="H41" s="46">
        <f t="shared" si="8"/>
        <v>0</v>
      </c>
      <c r="I41" s="46">
        <f t="shared" si="9"/>
        <v>0</v>
      </c>
      <c r="J41" s="47">
        <f t="shared" si="10"/>
        <v>2436.9710999999998</v>
      </c>
      <c r="K41" s="48">
        <f t="shared" si="11"/>
        <v>2.2500000000000003E-2</v>
      </c>
      <c r="L41" s="48">
        <f t="shared" si="12"/>
        <v>1.7600000000000001E-2</v>
      </c>
      <c r="M41" s="48">
        <f t="shared" si="13"/>
        <v>4.9000000000000016E-3</v>
      </c>
      <c r="N41" s="48">
        <f t="shared" si="14"/>
        <v>4.074191453755649E-4</v>
      </c>
      <c r="O41" s="49">
        <f t="shared" si="15"/>
        <v>1081459.2546653957</v>
      </c>
    </row>
    <row r="42" spans="2:15" ht="20.100000000000001" customHeight="1" thickBot="1" x14ac:dyDescent="0.3">
      <c r="B42" s="45">
        <f t="shared" si="2"/>
        <v>35</v>
      </c>
      <c r="C42" s="40">
        <f t="shared" ca="1" si="3"/>
        <v>57767</v>
      </c>
      <c r="D42" s="46">
        <f t="shared" si="4"/>
        <v>7800</v>
      </c>
      <c r="E42" s="46">
        <f t="shared" si="5"/>
        <v>1560</v>
      </c>
      <c r="F42" s="46">
        <f t="shared" si="6"/>
        <v>854.14840000000004</v>
      </c>
      <c r="G42" s="46">
        <f t="shared" si="7"/>
        <v>876.97109999999998</v>
      </c>
      <c r="H42" s="46">
        <f t="shared" si="8"/>
        <v>0</v>
      </c>
      <c r="I42" s="46">
        <f t="shared" si="9"/>
        <v>0</v>
      </c>
      <c r="J42" s="47">
        <f t="shared" si="10"/>
        <v>2436.9710999999998</v>
      </c>
      <c r="K42" s="48">
        <f t="shared" si="11"/>
        <v>2.2500000000000003E-2</v>
      </c>
      <c r="L42" s="48">
        <f t="shared" si="12"/>
        <v>1.7600000000000001E-2</v>
      </c>
      <c r="M42" s="48">
        <f t="shared" si="13"/>
        <v>4.9000000000000016E-3</v>
      </c>
      <c r="N42" s="48">
        <f t="shared" si="14"/>
        <v>4.074191453755649E-4</v>
      </c>
      <c r="O42" s="49">
        <f t="shared" si="15"/>
        <v>1116067.6766209798</v>
      </c>
    </row>
    <row r="43" spans="2:15" ht="20.100000000000001" customHeight="1" thickBot="1" x14ac:dyDescent="0.3">
      <c r="B43" s="45">
        <f t="shared" si="2"/>
        <v>36</v>
      </c>
      <c r="C43" s="40">
        <f t="shared" ca="1" si="3"/>
        <v>58132</v>
      </c>
      <c r="D43" s="46">
        <f t="shared" si="4"/>
        <v>7800</v>
      </c>
      <c r="E43" s="46">
        <f t="shared" si="5"/>
        <v>1560</v>
      </c>
      <c r="F43" s="46">
        <f t="shared" si="6"/>
        <v>854.14840000000004</v>
      </c>
      <c r="G43" s="46">
        <f t="shared" si="7"/>
        <v>876.97109999999998</v>
      </c>
      <c r="H43" s="46">
        <f t="shared" si="8"/>
        <v>0</v>
      </c>
      <c r="I43" s="46">
        <f t="shared" si="9"/>
        <v>0</v>
      </c>
      <c r="J43" s="47">
        <f t="shared" si="10"/>
        <v>2436.9710999999998</v>
      </c>
      <c r="K43" s="48">
        <f t="shared" si="11"/>
        <v>2.2500000000000003E-2</v>
      </c>
      <c r="L43" s="48">
        <f t="shared" si="12"/>
        <v>1.7600000000000001E-2</v>
      </c>
      <c r="M43" s="48">
        <f t="shared" si="13"/>
        <v>4.9000000000000016E-3</v>
      </c>
      <c r="N43" s="48">
        <f t="shared" si="14"/>
        <v>4.074191453755649E-4</v>
      </c>
      <c r="O43" s="49">
        <f t="shared" si="15"/>
        <v>1150845.6798441464</v>
      </c>
    </row>
    <row r="44" spans="2:15" ht="20.100000000000001" customHeight="1" thickBot="1" x14ac:dyDescent="0.3">
      <c r="B44" s="45">
        <f t="shared" si="2"/>
        <v>37</v>
      </c>
      <c r="C44" s="40">
        <f t="shared" ca="1" si="3"/>
        <v>58497</v>
      </c>
      <c r="D44" s="46">
        <f t="shared" si="4"/>
        <v>7800</v>
      </c>
      <c r="E44" s="46">
        <f t="shared" si="5"/>
        <v>1560</v>
      </c>
      <c r="F44" s="46">
        <f t="shared" si="6"/>
        <v>854.14840000000004</v>
      </c>
      <c r="G44" s="46">
        <f t="shared" si="7"/>
        <v>876.97109999999998</v>
      </c>
      <c r="H44" s="46">
        <f t="shared" si="8"/>
        <v>0</v>
      </c>
      <c r="I44" s="46">
        <f t="shared" si="9"/>
        <v>0</v>
      </c>
      <c r="J44" s="47">
        <f t="shared" si="10"/>
        <v>2436.9710999999998</v>
      </c>
      <c r="K44" s="48">
        <f t="shared" si="11"/>
        <v>2.2500000000000003E-2</v>
      </c>
      <c r="L44" s="48">
        <f t="shared" si="12"/>
        <v>1.7600000000000001E-2</v>
      </c>
      <c r="M44" s="48">
        <f t="shared" si="13"/>
        <v>4.9000000000000016E-3</v>
      </c>
      <c r="N44" s="48">
        <f t="shared" si="14"/>
        <v>4.074191453755649E-4</v>
      </c>
      <c r="O44" s="49">
        <f t="shared" si="15"/>
        <v>1185794.0952831064</v>
      </c>
    </row>
    <row r="45" spans="2:15" ht="20.100000000000001" customHeight="1" thickBot="1" x14ac:dyDescent="0.3">
      <c r="B45" s="45">
        <f t="shared" si="2"/>
        <v>38</v>
      </c>
      <c r="C45" s="40">
        <f t="shared" ca="1" si="3"/>
        <v>58863</v>
      </c>
      <c r="D45" s="46">
        <f t="shared" si="4"/>
        <v>7800</v>
      </c>
      <c r="E45" s="46">
        <f t="shared" si="5"/>
        <v>1560</v>
      </c>
      <c r="F45" s="46">
        <f t="shared" si="6"/>
        <v>854.14840000000004</v>
      </c>
      <c r="G45" s="46">
        <f t="shared" si="7"/>
        <v>876.97109999999998</v>
      </c>
      <c r="H45" s="46">
        <f t="shared" si="8"/>
        <v>0</v>
      </c>
      <c r="I45" s="46">
        <f t="shared" si="9"/>
        <v>0</v>
      </c>
      <c r="J45" s="47">
        <f t="shared" si="10"/>
        <v>2436.9710999999998</v>
      </c>
      <c r="K45" s="48">
        <f t="shared" si="11"/>
        <v>2.2500000000000003E-2</v>
      </c>
      <c r="L45" s="48">
        <f t="shared" si="12"/>
        <v>1.7600000000000001E-2</v>
      </c>
      <c r="M45" s="48">
        <f t="shared" si="13"/>
        <v>4.9000000000000016E-3</v>
      </c>
      <c r="N45" s="48">
        <f t="shared" si="14"/>
        <v>4.074191453755649E-4</v>
      </c>
      <c r="O45" s="49">
        <f t="shared" si="15"/>
        <v>1220913.7579577174</v>
      </c>
    </row>
    <row r="46" spans="2:15" ht="20.100000000000001" customHeight="1" thickBot="1" x14ac:dyDescent="0.3">
      <c r="B46" s="45">
        <f t="shared" si="2"/>
        <v>39</v>
      </c>
      <c r="C46" s="40">
        <f t="shared" ca="1" si="3"/>
        <v>59228</v>
      </c>
      <c r="D46" s="46">
        <f t="shared" si="4"/>
        <v>7800</v>
      </c>
      <c r="E46" s="46">
        <f t="shared" si="5"/>
        <v>1560</v>
      </c>
      <c r="F46" s="46">
        <f t="shared" si="6"/>
        <v>854.14840000000004</v>
      </c>
      <c r="G46" s="46">
        <f t="shared" si="7"/>
        <v>876.97109999999998</v>
      </c>
      <c r="H46" s="46">
        <f t="shared" si="8"/>
        <v>0</v>
      </c>
      <c r="I46" s="46">
        <f t="shared" si="9"/>
        <v>0</v>
      </c>
      <c r="J46" s="47">
        <f t="shared" si="10"/>
        <v>2436.9710999999998</v>
      </c>
      <c r="K46" s="48">
        <f t="shared" si="11"/>
        <v>2.2500000000000003E-2</v>
      </c>
      <c r="L46" s="48">
        <f t="shared" si="12"/>
        <v>1.7600000000000001E-2</v>
      </c>
      <c r="M46" s="48">
        <f t="shared" si="13"/>
        <v>4.9000000000000016E-3</v>
      </c>
      <c r="N46" s="48">
        <f t="shared" si="14"/>
        <v>4.074191453755649E-4</v>
      </c>
      <c r="O46" s="49">
        <f t="shared" si="15"/>
        <v>1256205.5069794338</v>
      </c>
    </row>
    <row r="47" spans="2:15" ht="20.100000000000001" customHeight="1" thickBot="1" x14ac:dyDescent="0.3">
      <c r="B47" s="45">
        <f t="shared" si="2"/>
        <v>40</v>
      </c>
      <c r="C47" s="40">
        <f t="shared" ca="1" si="3"/>
        <v>59593</v>
      </c>
      <c r="D47" s="46">
        <f t="shared" si="4"/>
        <v>7800</v>
      </c>
      <c r="E47" s="46">
        <f t="shared" si="5"/>
        <v>1560</v>
      </c>
      <c r="F47" s="46">
        <f t="shared" si="6"/>
        <v>854.14840000000004</v>
      </c>
      <c r="G47" s="46">
        <f t="shared" si="7"/>
        <v>876.97109999999998</v>
      </c>
      <c r="H47" s="46">
        <f t="shared" si="8"/>
        <v>0</v>
      </c>
      <c r="I47" s="46">
        <f t="shared" si="9"/>
        <v>0</v>
      </c>
      <c r="J47" s="47">
        <f t="shared" si="10"/>
        <v>2436.9710999999998</v>
      </c>
      <c r="K47" s="48">
        <f t="shared" si="11"/>
        <v>2.2500000000000003E-2</v>
      </c>
      <c r="L47" s="48">
        <f t="shared" si="12"/>
        <v>1.7600000000000001E-2</v>
      </c>
      <c r="M47" s="48">
        <f t="shared" si="13"/>
        <v>4.9000000000000016E-3</v>
      </c>
      <c r="N47" s="48">
        <f t="shared" si="14"/>
        <v>4.074191453755649E-4</v>
      </c>
      <c r="O47" s="49">
        <f t="shared" si="15"/>
        <v>1291670.1855713567</v>
      </c>
    </row>
    <row r="48" spans="2:15" ht="20.100000000000001" customHeight="1" thickBot="1" x14ac:dyDescent="0.3">
      <c r="B48" s="45" t="str">
        <f t="shared" si="2"/>
        <v xml:space="preserve"> </v>
      </c>
      <c r="C48" s="40" t="str">
        <f t="shared" si="3"/>
        <v xml:space="preserve"> </v>
      </c>
      <c r="D48" s="46" t="str">
        <f t="shared" si="4"/>
        <v xml:space="preserve"> </v>
      </c>
      <c r="E48" s="46" t="str">
        <f t="shared" si="5"/>
        <v xml:space="preserve"> </v>
      </c>
      <c r="F48" s="46" t="str">
        <f t="shared" si="6"/>
        <v xml:space="preserve"> </v>
      </c>
      <c r="G48" s="46" t="str">
        <f t="shared" si="7"/>
        <v xml:space="preserve"> </v>
      </c>
      <c r="H48" s="46" t="str">
        <f t="shared" si="8"/>
        <v xml:space="preserve"> </v>
      </c>
      <c r="I48" s="46" t="str">
        <f t="shared" si="9"/>
        <v xml:space="preserve"> </v>
      </c>
      <c r="J48" s="47" t="str">
        <f t="shared" si="10"/>
        <v xml:space="preserve"> </v>
      </c>
      <c r="K48" s="48">
        <f t="shared" si="11"/>
        <v>0</v>
      </c>
      <c r="L48" s="48">
        <f t="shared" si="12"/>
        <v>0</v>
      </c>
      <c r="M48" s="48">
        <f t="shared" si="13"/>
        <v>0</v>
      </c>
      <c r="N48" s="48" t="str">
        <f t="shared" si="14"/>
        <v xml:space="preserve"> </v>
      </c>
      <c r="O48" s="49" t="str">
        <f t="shared" si="15"/>
        <v xml:space="preserve"> </v>
      </c>
    </row>
    <row r="49" spans="2:16" ht="20.100000000000001" customHeight="1" thickBot="1" x14ac:dyDescent="0.3">
      <c r="B49" s="45" t="str">
        <f t="shared" si="2"/>
        <v xml:space="preserve"> </v>
      </c>
      <c r="C49" s="40" t="str">
        <f t="shared" si="3"/>
        <v xml:space="preserve"> </v>
      </c>
      <c r="D49" s="46" t="str">
        <f t="shared" si="4"/>
        <v xml:space="preserve"> </v>
      </c>
      <c r="E49" s="46" t="str">
        <f t="shared" si="5"/>
        <v xml:space="preserve"> </v>
      </c>
      <c r="F49" s="46" t="str">
        <f t="shared" si="6"/>
        <v xml:space="preserve"> </v>
      </c>
      <c r="G49" s="46" t="str">
        <f t="shared" si="7"/>
        <v xml:space="preserve"> </v>
      </c>
      <c r="H49" s="46" t="str">
        <f t="shared" si="8"/>
        <v xml:space="preserve"> </v>
      </c>
      <c r="I49" s="46" t="str">
        <f t="shared" si="9"/>
        <v xml:space="preserve"> </v>
      </c>
      <c r="J49" s="47" t="str">
        <f t="shared" si="10"/>
        <v xml:space="preserve"> </v>
      </c>
      <c r="K49" s="48">
        <f t="shared" si="11"/>
        <v>0</v>
      </c>
      <c r="L49" s="48">
        <f t="shared" si="12"/>
        <v>0</v>
      </c>
      <c r="M49" s="48">
        <f t="shared" si="13"/>
        <v>0</v>
      </c>
      <c r="N49" s="48" t="str">
        <f t="shared" si="14"/>
        <v xml:space="preserve"> </v>
      </c>
      <c r="O49" s="49" t="str">
        <f t="shared" si="15"/>
        <v xml:space="preserve"> </v>
      </c>
    </row>
    <row r="50" spans="2:16" ht="20.100000000000001" customHeight="1" thickBot="1" x14ac:dyDescent="0.3">
      <c r="B50" s="45" t="str">
        <f t="shared" si="2"/>
        <v xml:space="preserve"> </v>
      </c>
      <c r="C50" s="40" t="str">
        <f t="shared" si="3"/>
        <v xml:space="preserve"> </v>
      </c>
      <c r="D50" s="46" t="str">
        <f t="shared" si="4"/>
        <v xml:space="preserve"> </v>
      </c>
      <c r="E50" s="46" t="str">
        <f t="shared" si="5"/>
        <v xml:space="preserve"> </v>
      </c>
      <c r="F50" s="46" t="str">
        <f t="shared" si="6"/>
        <v xml:space="preserve"> </v>
      </c>
      <c r="G50" s="46" t="str">
        <f t="shared" si="7"/>
        <v xml:space="preserve"> </v>
      </c>
      <c r="H50" s="46" t="str">
        <f t="shared" si="8"/>
        <v xml:space="preserve"> </v>
      </c>
      <c r="I50" s="46" t="str">
        <f t="shared" si="9"/>
        <v xml:space="preserve"> </v>
      </c>
      <c r="J50" s="47" t="str">
        <f t="shared" si="10"/>
        <v xml:space="preserve"> </v>
      </c>
      <c r="K50" s="48">
        <f t="shared" si="11"/>
        <v>0</v>
      </c>
      <c r="L50" s="48">
        <f t="shared" si="12"/>
        <v>0</v>
      </c>
      <c r="M50" s="48">
        <f t="shared" si="13"/>
        <v>0</v>
      </c>
      <c r="N50" s="48" t="str">
        <f t="shared" si="14"/>
        <v xml:space="preserve"> </v>
      </c>
      <c r="O50" s="49" t="str">
        <f t="shared" si="15"/>
        <v xml:space="preserve"> </v>
      </c>
    </row>
    <row r="51" spans="2:16" ht="20.100000000000001" customHeight="1" thickBot="1" x14ac:dyDescent="0.3">
      <c r="B51" s="45" t="str">
        <f t="shared" si="2"/>
        <v xml:space="preserve"> </v>
      </c>
      <c r="C51" s="40" t="str">
        <f t="shared" si="3"/>
        <v xml:space="preserve"> </v>
      </c>
      <c r="D51" s="46" t="str">
        <f t="shared" si="4"/>
        <v xml:space="preserve"> </v>
      </c>
      <c r="E51" s="46" t="str">
        <f t="shared" si="5"/>
        <v xml:space="preserve"> </v>
      </c>
      <c r="F51" s="46" t="str">
        <f t="shared" si="6"/>
        <v xml:space="preserve"> </v>
      </c>
      <c r="G51" s="46" t="str">
        <f t="shared" si="7"/>
        <v xml:space="preserve"> </v>
      </c>
      <c r="H51" s="46" t="str">
        <f t="shared" si="8"/>
        <v xml:space="preserve"> </v>
      </c>
      <c r="I51" s="46" t="str">
        <f t="shared" si="9"/>
        <v xml:space="preserve"> </v>
      </c>
      <c r="J51" s="47" t="str">
        <f t="shared" si="10"/>
        <v xml:space="preserve"> </v>
      </c>
      <c r="K51" s="48">
        <f t="shared" si="11"/>
        <v>0</v>
      </c>
      <c r="L51" s="48">
        <f t="shared" si="12"/>
        <v>0</v>
      </c>
      <c r="M51" s="48">
        <f t="shared" si="13"/>
        <v>0</v>
      </c>
      <c r="N51" s="48" t="str">
        <f t="shared" si="14"/>
        <v xml:space="preserve"> </v>
      </c>
      <c r="O51" s="49" t="str">
        <f t="shared" si="15"/>
        <v xml:space="preserve"> </v>
      </c>
    </row>
    <row r="52" spans="2:16" ht="20.100000000000001" customHeight="1" thickBot="1" x14ac:dyDescent="0.3">
      <c r="B52" s="45" t="str">
        <f t="shared" si="2"/>
        <v xml:space="preserve"> </v>
      </c>
      <c r="C52" s="40" t="str">
        <f t="shared" si="3"/>
        <v xml:space="preserve"> </v>
      </c>
      <c r="D52" s="46" t="str">
        <f t="shared" si="4"/>
        <v xml:space="preserve"> </v>
      </c>
      <c r="E52" s="46" t="str">
        <f t="shared" si="5"/>
        <v xml:space="preserve"> </v>
      </c>
      <c r="F52" s="46" t="str">
        <f t="shared" si="6"/>
        <v xml:space="preserve"> </v>
      </c>
      <c r="G52" s="46" t="str">
        <f t="shared" si="7"/>
        <v xml:space="preserve"> </v>
      </c>
      <c r="H52" s="46" t="str">
        <f t="shared" si="8"/>
        <v xml:space="preserve"> </v>
      </c>
      <c r="I52" s="46" t="str">
        <f t="shared" si="9"/>
        <v xml:space="preserve"> </v>
      </c>
      <c r="J52" s="47" t="str">
        <f t="shared" si="10"/>
        <v xml:space="preserve"> </v>
      </c>
      <c r="K52" s="48">
        <f t="shared" si="11"/>
        <v>0</v>
      </c>
      <c r="L52" s="48">
        <f t="shared" si="12"/>
        <v>0</v>
      </c>
      <c r="M52" s="48">
        <f t="shared" si="13"/>
        <v>0</v>
      </c>
      <c r="N52" s="48" t="str">
        <f t="shared" si="14"/>
        <v xml:space="preserve"> </v>
      </c>
      <c r="O52" s="49" t="str">
        <f t="shared" si="15"/>
        <v xml:space="preserve"> </v>
      </c>
    </row>
    <row r="53" spans="2:16" ht="31.5" customHeight="1" thickBot="1" x14ac:dyDescent="0.3">
      <c r="B53" s="107" t="s">
        <v>12</v>
      </c>
      <c r="C53" s="108"/>
      <c r="D53" s="50">
        <f>SUBTOTAL(1,D8:D52)</f>
        <v>7800</v>
      </c>
      <c r="E53" s="50">
        <f>SUBTOTAL(9,E8:E52)</f>
        <v>62400</v>
      </c>
      <c r="F53" s="50">
        <f>SUBTOTAL(1,F8:F52)</f>
        <v>854.14839999999913</v>
      </c>
      <c r="G53" s="50">
        <f>SUBTOTAL(9,G8:G52)</f>
        <v>35078.84399999999</v>
      </c>
      <c r="H53" s="50">
        <f>SUBTOTAL(9,H8:H52)</f>
        <v>0</v>
      </c>
      <c r="I53" s="50">
        <f>SUBTOTAL(9,I8:I52)</f>
        <v>0</v>
      </c>
      <c r="J53" s="50">
        <f>SUBTOTAL(9,J8:J52)</f>
        <v>97478.843999999954</v>
      </c>
      <c r="K53" s="51">
        <f>FVSCHEDULE(1,K8:K52)-1</f>
        <v>1.4351889654216485</v>
      </c>
      <c r="L53" s="51">
        <f>FVSCHEDULE(1,L8:L52)-1</f>
        <v>1.0094811293598203</v>
      </c>
      <c r="M53" s="51">
        <f>FVSCHEDULE(1,M8:M52)-1</f>
        <v>0.21594476976464994</v>
      </c>
      <c r="N53" s="51">
        <f>SUBTOTAL(1,N8:N52)</f>
        <v>4.074191453755649E-4</v>
      </c>
      <c r="O53" s="52">
        <f>FV(N8,E4*12,-J8)</f>
        <v>1291670.1855713413</v>
      </c>
    </row>
    <row r="54" spans="2:16" ht="6" customHeight="1" x14ac:dyDescent="0.25"/>
    <row r="55" spans="2:16" ht="20.100000000000001" customHeight="1" x14ac:dyDescent="0.25">
      <c r="C55" s="60" t="s">
        <v>31</v>
      </c>
      <c r="H55" s="59">
        <f>+M8</f>
        <v>4.9000000000000016E-3</v>
      </c>
      <c r="K55" s="66" t="s">
        <v>33</v>
      </c>
      <c r="L55" s="67"/>
      <c r="M55" s="67"/>
      <c r="N55" s="68"/>
      <c r="O55" s="62">
        <f>PMT(+((H56+1)^(1/12))-1,O59*12,-O53)</f>
        <v>6392.2095219241646</v>
      </c>
    </row>
    <row r="56" spans="2:16" ht="20.100000000000001" customHeight="1" thickBot="1" x14ac:dyDescent="0.3">
      <c r="C56" s="60" t="s">
        <v>32</v>
      </c>
      <c r="H56" s="61">
        <v>1.2999999999999999E-2</v>
      </c>
      <c r="K56" s="66" t="s">
        <v>29</v>
      </c>
      <c r="L56" s="67"/>
      <c r="M56" s="67"/>
      <c r="N56" s="68"/>
      <c r="O56" s="63">
        <f>+O55/D53</f>
        <v>0.81951404127232885</v>
      </c>
    </row>
    <row r="57" spans="2:16" ht="20.100000000000001" customHeight="1" x14ac:dyDescent="0.25">
      <c r="K57" s="66" t="s">
        <v>14</v>
      </c>
      <c r="L57" s="67"/>
      <c r="M57" s="67"/>
      <c r="N57" s="68"/>
      <c r="O57" s="64">
        <f>IF(M4="Femenino",62,65)</f>
        <v>65</v>
      </c>
    </row>
    <row r="58" spans="2:16" ht="20.100000000000001" customHeight="1" x14ac:dyDescent="0.25">
      <c r="K58" s="66" t="s">
        <v>15</v>
      </c>
      <c r="L58" s="67"/>
      <c r="M58" s="67"/>
      <c r="N58" s="68"/>
      <c r="O58" s="65">
        <v>84</v>
      </c>
    </row>
    <row r="59" spans="2:16" ht="20.100000000000001" customHeight="1" x14ac:dyDescent="0.25">
      <c r="E59" s="53"/>
      <c r="K59" s="66" t="s">
        <v>27</v>
      </c>
      <c r="L59" s="67"/>
      <c r="M59" s="67"/>
      <c r="N59" s="68"/>
      <c r="O59" s="64">
        <f>+O58-O57</f>
        <v>19</v>
      </c>
    </row>
    <row r="60" spans="2:16" ht="20.100000000000001" customHeight="1" x14ac:dyDescent="0.25">
      <c r="E60" s="55"/>
    </row>
    <row r="61" spans="2:16" ht="2.1" customHeight="1" x14ac:dyDescent="0.25">
      <c r="E61" s="53"/>
      <c r="G61" s="54"/>
    </row>
    <row r="63" spans="2:16" hidden="1" x14ac:dyDescent="0.25">
      <c r="P63" s="53"/>
    </row>
    <row r="64" spans="2:16" hidden="1" x14ac:dyDescent="0.25">
      <c r="P64" s="53"/>
    </row>
    <row r="65" spans="16:16" hidden="1" x14ac:dyDescent="0.25">
      <c r="P65" s="53"/>
    </row>
  </sheetData>
  <sheetProtection algorithmName="SHA-512" hashValue="UnXdkT6vG1QV6iIx4Wptl1PzLH5qov52hTc0wPocvTBUf6rTM1qAyv/bdPwp9TP9n1NIITChDqx7x8E2nfJXdg==" saltValue="PkEqrpoK+sqkHTVwvkE+DA==" spinCount="100000" sheet="1" objects="1" scenarios="1" selectLockedCells="1"/>
  <mergeCells count="10">
    <mergeCell ref="B53:C53"/>
    <mergeCell ref="L6:L7"/>
    <mergeCell ref="M6:M7"/>
    <mergeCell ref="N6:N7"/>
    <mergeCell ref="O6:O7"/>
    <mergeCell ref="B6:B7"/>
    <mergeCell ref="C6:C7"/>
    <mergeCell ref="D6:D7"/>
    <mergeCell ref="F6:F7"/>
    <mergeCell ref="K6:K7"/>
  </mergeCells>
  <conditionalFormatting sqref="K8:K52">
    <cfRule type="cellIs" dxfId="2" priority="3" operator="equal">
      <formula>0</formula>
    </cfRule>
  </conditionalFormatting>
  <conditionalFormatting sqref="L8:L52">
    <cfRule type="cellIs" dxfId="1" priority="2" operator="equal">
      <formula>0</formula>
    </cfRule>
  </conditionalFormatting>
  <conditionalFormatting sqref="M10:M52">
    <cfRule type="cellIs" dxfId="0" priority="1" operator="equal">
      <formula>0</formula>
    </cfRule>
  </conditionalFormatting>
  <dataValidations count="4">
    <dataValidation type="list" allowBlank="1" showInputMessage="1" showErrorMessage="1" sqref="E4" xr:uid="{00000000-0002-0000-0100-000000000000}">
      <formula1>"15,16,17,18,19,20,21,22,23,24,25,26,27,28,29,30,31,32,33,34,35,36,37,38,39,40,41,42,43,44,45"</formula1>
    </dataValidation>
    <dataValidation type="decimal" errorStyle="warning" allowBlank="1" showInputMessage="1" showErrorMessage="1" error="somente valores entre 16 e 50 anos_x000a_" sqref="J4" xr:uid="{00000000-0002-0000-0100-000001000000}">
      <formula1>16</formula1>
      <formula2>55</formula2>
    </dataValidation>
    <dataValidation type="list" allowBlank="1" showInputMessage="1" showErrorMessage="1" sqref="H7" xr:uid="{00000000-0002-0000-0100-000002000000}">
      <formula1>"0%,8%"</formula1>
    </dataValidation>
    <dataValidation type="list" allowBlank="1" showInputMessage="1" showErrorMessage="1" sqref="M4" xr:uid="{49A2F354-2E25-4FD6-B57C-A1414187B926}">
      <formula1>"Femenino,Masculino"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8" scale="77" orientation="portrait" r:id="rId1"/>
  <headerFooter>
    <oddFooter>&amp;LTeam PreviHonda</oddFooter>
  </headerFooter>
  <ignoredErrors>
    <ignoredError sqref="I8:I52 J4" emptyCellReference="1"/>
    <ignoredError sqref="C8" unlockedFormula="1"/>
  </ignoredError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954A8-4FB8-4A92-B646-E82D288BC388}">
  <dimension ref="B1:M14"/>
  <sheetViews>
    <sheetView showGridLines="0" zoomScale="180" zoomScaleNormal="180" workbookViewId="0">
      <pane xSplit="2" ySplit="4" topLeftCell="C5" activePane="bottomRight" state="frozen"/>
      <selection activeCell="C17" sqref="C17"/>
      <selection pane="topRight" activeCell="C17" sqref="C17"/>
      <selection pane="bottomLeft" activeCell="C17" sqref="C17"/>
      <selection pane="bottomRight" activeCell="D11" sqref="D11"/>
    </sheetView>
  </sheetViews>
  <sheetFormatPr defaultRowHeight="15" x14ac:dyDescent="0.25"/>
  <cols>
    <col min="1" max="1" width="1.7109375" style="38" customWidth="1"/>
    <col min="2" max="2" width="17.42578125" style="38" customWidth="1"/>
    <col min="3" max="3" width="17.85546875" style="38" customWidth="1"/>
    <col min="4" max="4" width="10.42578125" style="38" customWidth="1"/>
    <col min="5" max="5" width="19" style="38" customWidth="1"/>
    <col min="6" max="6" width="1.7109375" style="38" customWidth="1"/>
    <col min="7" max="8" width="12.42578125" style="38" customWidth="1"/>
    <col min="9" max="11" width="10.42578125" style="38" bestFit="1" customWidth="1"/>
    <col min="12" max="12" width="6.5703125" style="38" bestFit="1" customWidth="1"/>
    <col min="13" max="13" width="11.5703125" style="38" bestFit="1" customWidth="1"/>
    <col min="14" max="16384" width="9.140625" style="38"/>
  </cols>
  <sheetData>
    <row r="1" spans="2:13" ht="15.75" thickBot="1" x14ac:dyDescent="0.3">
      <c r="B1" s="119" t="s">
        <v>39</v>
      </c>
    </row>
    <row r="2" spans="2:13" ht="43.5" customHeight="1" thickBot="1" x14ac:dyDescent="0.3">
      <c r="B2" s="120" t="s">
        <v>40</v>
      </c>
      <c r="C2" s="121"/>
      <c r="D2" s="121"/>
      <c r="E2" s="122"/>
    </row>
    <row r="3" spans="2:13" ht="19.5" customHeight="1" x14ac:dyDescent="0.25">
      <c r="B3" s="123" t="s">
        <v>41</v>
      </c>
      <c r="C3" s="124"/>
      <c r="D3" s="124"/>
      <c r="E3" s="166">
        <f>+BASE!D8</f>
        <v>7800</v>
      </c>
    </row>
    <row r="4" spans="2:13" ht="27.75" customHeight="1" x14ac:dyDescent="0.25">
      <c r="B4" s="125" t="s">
        <v>37</v>
      </c>
      <c r="C4" s="126" t="s">
        <v>38</v>
      </c>
      <c r="D4" s="126" t="s">
        <v>36</v>
      </c>
      <c r="E4" s="127" t="s">
        <v>42</v>
      </c>
      <c r="I4" s="128"/>
      <c r="J4" s="128"/>
      <c r="K4" s="128"/>
      <c r="L4" s="128"/>
      <c r="M4" s="128"/>
    </row>
    <row r="5" spans="2:13" ht="24.95" customHeight="1" x14ac:dyDescent="0.25">
      <c r="B5" s="129">
        <v>0</v>
      </c>
      <c r="C5" s="130">
        <v>1320</v>
      </c>
      <c r="D5" s="131">
        <v>7.4999999999999997E-2</v>
      </c>
      <c r="E5" s="132">
        <f>IF($E$3&gt;=C5,C5*D5,IF(AND($E$3&gt;MIN(B5),$E$3&lt;=MAX(C5)),$E$3*D5,0))</f>
        <v>99</v>
      </c>
      <c r="F5" s="53"/>
      <c r="G5" s="53"/>
      <c r="H5" s="53"/>
      <c r="I5" s="133"/>
      <c r="J5" s="133"/>
      <c r="K5" s="128"/>
      <c r="L5" s="128"/>
      <c r="M5" s="134"/>
    </row>
    <row r="6" spans="2:13" ht="24.95" customHeight="1" x14ac:dyDescent="0.25">
      <c r="B6" s="129">
        <f>+C5+0.00001</f>
        <v>1320.00001</v>
      </c>
      <c r="C6" s="130">
        <v>2571.29</v>
      </c>
      <c r="D6" s="131">
        <v>0.09</v>
      </c>
      <c r="E6" s="132">
        <f>IF($E$3&gt;=C6,(C6-C5)*D6,IF(AND($E$3&gt;MIN(B6),$E$3&lt;=MAX(C6)),($E$3-C5)*D6,0))</f>
        <v>112.61609999999999</v>
      </c>
      <c r="F6" s="53"/>
      <c r="G6" s="53"/>
      <c r="H6" s="53"/>
      <c r="I6" s="135"/>
      <c r="J6" s="135"/>
      <c r="K6" s="135"/>
      <c r="L6" s="135"/>
      <c r="M6" s="135"/>
    </row>
    <row r="7" spans="2:13" ht="24.95" customHeight="1" x14ac:dyDescent="0.25">
      <c r="B7" s="129">
        <f t="shared" ref="B7:B8" si="0">+C6+0.00001</f>
        <v>2571.2900100000002</v>
      </c>
      <c r="C7" s="130">
        <v>3856.94</v>
      </c>
      <c r="D7" s="131">
        <v>0.12</v>
      </c>
      <c r="E7" s="132">
        <f>IF($E$3&gt;=C7,(C7-C6)*D7,IF(AND($E$3&gt;MIN(B7),$E$3&lt;=MAX(C7)),($E$3-C6)*D7,0))</f>
        <v>154.27799999999999</v>
      </c>
      <c r="F7" s="53"/>
      <c r="G7" s="53"/>
      <c r="H7" s="53"/>
      <c r="I7" s="136"/>
      <c r="J7" s="136"/>
      <c r="K7" s="136"/>
      <c r="L7" s="137"/>
      <c r="M7" s="136"/>
    </row>
    <row r="8" spans="2:13" ht="24.95" customHeight="1" x14ac:dyDescent="0.25">
      <c r="B8" s="129">
        <f t="shared" si="0"/>
        <v>3856.9400100000003</v>
      </c>
      <c r="C8" s="130">
        <v>7507.49</v>
      </c>
      <c r="D8" s="131">
        <v>0.14000000000000001</v>
      </c>
      <c r="E8" s="132">
        <f>IF($E$3&gt;=C8,(C8-C7)*D8,IF(AND($E$3&gt;MIN(B8),$E$3&lt;=MAX(C8)),($E$3-C7)*D8,0))</f>
        <v>511.077</v>
      </c>
      <c r="F8" s="53"/>
      <c r="G8" s="53"/>
      <c r="H8" s="53"/>
      <c r="I8" s="136"/>
      <c r="J8" s="136"/>
      <c r="K8" s="136"/>
      <c r="L8" s="138"/>
      <c r="M8" s="136"/>
    </row>
    <row r="9" spans="2:13" ht="20.100000000000001" customHeight="1" x14ac:dyDescent="0.25">
      <c r="B9" s="139" t="s">
        <v>43</v>
      </c>
      <c r="C9" s="140"/>
      <c r="D9" s="141"/>
      <c r="E9" s="142">
        <f>IF($E$3&gt;=C5,C5*D5,IF(AND($E$3&gt;MIN(B5),$E$3&lt;=MAX(C5)),$E$3*D5,0))+IF($E$3&gt;=C6,(C6-C5)*D6,IF(AND($E$3&gt;MIN(B6),$E$3&lt;=MAX(C6)),($E$3-C5)*D6,0))+IF($E$3&gt;=C7,(C7-C6)*D7,IF(AND($E$3&gt;MIN(B7),$E$3&lt;=MAX(C7)),($E$3-C6)*D7,0))+IF($E$3&gt;=C8,(C8-C7)*D8,IF(AND($E$3&gt;MIN(B8),$E$3&lt;=MAX(C8)),($E$3-C7)*D8,0))</f>
        <v>876.97109999999998</v>
      </c>
      <c r="F9" s="143"/>
      <c r="G9" s="143"/>
      <c r="H9" s="143"/>
      <c r="I9" s="136"/>
      <c r="J9" s="136"/>
      <c r="K9" s="136"/>
      <c r="L9" s="138"/>
      <c r="M9" s="136"/>
    </row>
    <row r="10" spans="2:13" ht="5.0999999999999996" customHeight="1" x14ac:dyDescent="0.25">
      <c r="B10" s="144"/>
      <c r="C10" s="144"/>
      <c r="D10" s="144"/>
      <c r="E10" s="144"/>
      <c r="I10" s="136"/>
      <c r="J10" s="136"/>
      <c r="K10" s="136"/>
      <c r="L10" s="138"/>
      <c r="M10" s="136"/>
    </row>
    <row r="11" spans="2:13" ht="20.100000000000001" customHeight="1" x14ac:dyDescent="0.25">
      <c r="B11" s="145" t="s">
        <v>44</v>
      </c>
      <c r="C11" s="146"/>
      <c r="D11" s="147">
        <v>0.2</v>
      </c>
      <c r="E11" s="148">
        <f>+E3*D11</f>
        <v>1560</v>
      </c>
      <c r="I11" s="128"/>
      <c r="J11" s="128"/>
      <c r="K11" s="128"/>
      <c r="L11" s="128"/>
      <c r="M11" s="136"/>
    </row>
    <row r="12" spans="2:13" ht="5.0999999999999996" customHeight="1" x14ac:dyDescent="0.25">
      <c r="B12" s="144"/>
      <c r="C12" s="144"/>
      <c r="D12" s="144"/>
      <c r="E12" s="144"/>
      <c r="I12" s="128"/>
      <c r="J12" s="128"/>
      <c r="K12" s="128"/>
      <c r="L12" s="128"/>
      <c r="M12" s="128"/>
    </row>
    <row r="13" spans="2:13" ht="20.100000000000001" customHeight="1" thickBot="1" x14ac:dyDescent="0.3">
      <c r="B13" s="149" t="s">
        <v>45</v>
      </c>
      <c r="C13" s="150"/>
      <c r="D13" s="151"/>
      <c r="E13" s="152">
        <f>+E9+E11</f>
        <v>2436.9710999999998</v>
      </c>
    </row>
    <row r="14" spans="2:13" x14ac:dyDescent="0.25">
      <c r="B14" s="153" t="e" cm="1">
        <f t="array" aca="1" ref="B14" ca="1">[1]!Extenso_Valor(E13)</f>
        <v>#NAME?</v>
      </c>
    </row>
  </sheetData>
  <sheetProtection algorithmName="SHA-512" hashValue="C4g1yuEE9Pd4rKZ0L4fM1rmP+9Qnm1VIe30M/onGp1X4a8oQANvUiUA8qFAIaDkUXD4r/f/e4OS/2o1Iz54EtQ==" saltValue="MYpinTWc0H18KO3KxbI/FA==" spinCount="100000" sheet="1" objects="1" scenarios="1"/>
  <mergeCells count="6">
    <mergeCell ref="B2:E2"/>
    <mergeCell ref="B3:D3"/>
    <mergeCell ref="I5:J5"/>
    <mergeCell ref="B9:D9"/>
    <mergeCell ref="B11:C11"/>
    <mergeCell ref="B13:D13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1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F5C87-5146-45BD-9405-C612D581382C}">
  <dimension ref="A1:M9"/>
  <sheetViews>
    <sheetView showGridLines="0" topLeftCell="A2" zoomScale="210" zoomScaleNormal="210" workbookViewId="0">
      <pane xSplit="2" ySplit="1" topLeftCell="C3" activePane="bottomRight" state="frozen"/>
      <selection activeCell="C17" sqref="C17"/>
      <selection pane="topRight" activeCell="C17" sqref="C17"/>
      <selection pane="bottomLeft" activeCell="C17" sqref="C17"/>
      <selection pane="bottomRight" activeCell="B7" sqref="B7"/>
    </sheetView>
  </sheetViews>
  <sheetFormatPr defaultColWidth="0" defaultRowHeight="15" customHeight="1" zeroHeight="1" x14ac:dyDescent="0.25"/>
  <cols>
    <col min="1" max="1" width="1.7109375" style="38" customWidth="1"/>
    <col min="2" max="2" width="46.5703125" style="38" customWidth="1"/>
    <col min="3" max="3" width="10.28515625" style="38" bestFit="1" customWidth="1"/>
    <col min="4" max="4" width="19" style="38" customWidth="1"/>
    <col min="5" max="5" width="1.7109375" style="38" customWidth="1"/>
    <col min="6" max="7" width="12.42578125" style="38" hidden="1" customWidth="1"/>
    <col min="8" max="10" width="10.42578125" style="38" hidden="1" customWidth="1"/>
    <col min="11" max="11" width="6.5703125" style="38" hidden="1" customWidth="1"/>
    <col min="12" max="13" width="11.5703125" style="38" hidden="1" customWidth="1"/>
    <col min="14" max="16384" width="9.140625" style="38" hidden="1"/>
  </cols>
  <sheetData>
    <row r="1" spans="2:12" ht="15.75" hidden="1" thickBot="1" x14ac:dyDescent="0.3">
      <c r="B1" s="119" t="s">
        <v>46</v>
      </c>
    </row>
    <row r="2" spans="2:12" ht="43.5" customHeight="1" thickBot="1" x14ac:dyDescent="0.3">
      <c r="B2" s="154" t="s">
        <v>47</v>
      </c>
      <c r="C2" s="155"/>
      <c r="D2" s="156">
        <v>1406</v>
      </c>
    </row>
    <row r="3" spans="2:12" ht="19.5" customHeight="1" x14ac:dyDescent="0.25">
      <c r="B3" s="157" t="s">
        <v>48</v>
      </c>
      <c r="C3" s="158"/>
      <c r="D3" s="159">
        <f>+'CONTRIBUIÇÃO NORMAL'!E3</f>
        <v>7800</v>
      </c>
    </row>
    <row r="4" spans="2:12" ht="19.5" customHeight="1" x14ac:dyDescent="0.25">
      <c r="B4" s="157" t="s">
        <v>49</v>
      </c>
      <c r="C4" s="158"/>
      <c r="D4" s="160">
        <v>10</v>
      </c>
    </row>
    <row r="5" spans="2:12" ht="19.5" customHeight="1" x14ac:dyDescent="0.25">
      <c r="B5" s="161" t="s">
        <v>50</v>
      </c>
      <c r="C5" s="162"/>
      <c r="D5" s="163">
        <f>IF(D3/30*(30-D4)&gt;=6101.06,6101.06,D3/30*(30-D4))</f>
        <v>5200</v>
      </c>
    </row>
    <row r="6" spans="2:12" ht="5.0999999999999996" customHeight="1" x14ac:dyDescent="0.25">
      <c r="B6" s="144"/>
      <c r="C6" s="144"/>
      <c r="D6" s="144"/>
      <c r="H6" s="136"/>
      <c r="I6" s="136"/>
      <c r="J6" s="136"/>
      <c r="K6" s="138"/>
      <c r="L6" s="136"/>
    </row>
    <row r="7" spans="2:12" ht="20.100000000000001" customHeight="1" x14ac:dyDescent="0.25">
      <c r="B7" s="164" t="s">
        <v>51</v>
      </c>
      <c r="C7" s="165">
        <v>0.2</v>
      </c>
      <c r="D7" s="148">
        <f>+D5*C7</f>
        <v>1040</v>
      </c>
      <c r="H7" s="128"/>
      <c r="I7" s="128"/>
      <c r="J7" s="128"/>
      <c r="K7" s="128"/>
      <c r="L7" s="136"/>
    </row>
    <row r="8" spans="2:12" ht="5.0999999999999996" customHeight="1" x14ac:dyDescent="0.25">
      <c r="B8" s="144"/>
      <c r="C8" s="144"/>
      <c r="D8" s="144"/>
      <c r="H8" s="128"/>
      <c r="I8" s="128"/>
      <c r="J8" s="128"/>
      <c r="K8" s="128"/>
      <c r="L8" s="128"/>
    </row>
    <row r="9" spans="2:12" ht="20.100000000000001" hidden="1" customHeight="1" x14ac:dyDescent="0.25">
      <c r="B9" s="149" t="s">
        <v>45</v>
      </c>
      <c r="C9" s="151"/>
      <c r="D9" s="152" t="e">
        <f>+#REF!+D7</f>
        <v>#REF!</v>
      </c>
    </row>
  </sheetData>
  <sheetProtection sheet="1" objects="1" scenarios="1"/>
  <mergeCells count="1">
    <mergeCell ref="B9:C9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1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BASE REAL</vt:lpstr>
      <vt:lpstr>BASE</vt:lpstr>
      <vt:lpstr>CONTRIBUIÇÃO NORMAL</vt:lpstr>
      <vt:lpstr>CONTRIBUIÇÃO CONTRATO SUSPENSO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Gilton Nascimento</dc:creator>
  <cp:lastModifiedBy>Gilton Nascimento</cp:lastModifiedBy>
  <cp:lastPrinted>2019-03-22T17:37:41Z</cp:lastPrinted>
  <dcterms:created xsi:type="dcterms:W3CDTF">2018-12-07T12:12:26Z</dcterms:created>
  <dcterms:modified xsi:type="dcterms:W3CDTF">2024-02-26T15:58:25Z</dcterms:modified>
</cp:coreProperties>
</file>